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020"/>
  </bookViews>
  <sheets>
    <sheet name="AI" sheetId="4" r:id="rId1"/>
    <sheet name="FMD" sheetId="3" r:id="rId2"/>
    <sheet name="ND" sheetId="5" r:id="rId3"/>
    <sheet name="PED" sheetId="1" r:id="rId4"/>
    <sheet name="ASF" sheetId="8" r:id="rId5"/>
    <sheet name="PRRS" sheetId="6" r:id="rId6"/>
    <sheet name="CSF" sheetId="7" r:id="rId7"/>
  </sheets>
  <calcPr calcId="1790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3" l="1"/>
  <c r="M3" i="3"/>
  <c r="M4" i="3"/>
  <c r="M5" i="3"/>
  <c r="M6" i="3"/>
  <c r="M7" i="3"/>
  <c r="M8" i="3"/>
  <c r="M9" i="3"/>
  <c r="M10" i="3"/>
  <c r="M11" i="3"/>
  <c r="M12" i="3"/>
  <c r="M13" i="3"/>
  <c r="K14" i="3"/>
  <c r="M14" i="3"/>
  <c r="K15" i="3"/>
  <c r="M15" i="3"/>
  <c r="M16" i="3"/>
  <c r="M17" i="3"/>
  <c r="M18" i="3"/>
  <c r="M19" i="3"/>
  <c r="M20" i="3"/>
  <c r="M21" i="3"/>
  <c r="M22" i="3"/>
  <c r="M23" i="3"/>
  <c r="M24" i="3"/>
  <c r="K25" i="3"/>
  <c r="M25" i="3"/>
  <c r="M26" i="3"/>
  <c r="M27" i="3"/>
  <c r="M28" i="3"/>
  <c r="M29" i="3"/>
  <c r="K30" i="3"/>
  <c r="M30" i="3"/>
  <c r="K31" i="3"/>
  <c r="M31" i="3"/>
  <c r="K32" i="3"/>
  <c r="M32" i="3"/>
  <c r="K33" i="3"/>
  <c r="M33" i="3"/>
  <c r="K34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K50" i="3"/>
  <c r="M50" i="3"/>
  <c r="K51" i="3"/>
  <c r="M51" i="3"/>
  <c r="U5" i="3"/>
  <c r="K2" i="6"/>
  <c r="L2" i="6"/>
  <c r="N2" i="6"/>
  <c r="K3" i="6"/>
  <c r="L3" i="6"/>
  <c r="N3" i="6"/>
  <c r="K4" i="6"/>
  <c r="L4" i="6"/>
  <c r="N4" i="6"/>
  <c r="L5" i="6"/>
  <c r="N5" i="6"/>
  <c r="L6" i="6"/>
  <c r="N6" i="6"/>
  <c r="L7" i="6"/>
  <c r="N7" i="6"/>
  <c r="L8" i="6"/>
  <c r="N8" i="6"/>
  <c r="L9" i="6"/>
  <c r="N9" i="6"/>
  <c r="K10" i="6"/>
  <c r="L10" i="6"/>
  <c r="N10" i="6"/>
  <c r="K11" i="6"/>
  <c r="L11" i="6"/>
  <c r="N11" i="6"/>
  <c r="V5" i="6"/>
  <c r="W3" i="6"/>
  <c r="V3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V3" i="3"/>
  <c r="K2" i="8"/>
  <c r="M2" i="8"/>
  <c r="K3" i="8"/>
  <c r="M3" i="8"/>
  <c r="K4" i="8"/>
  <c r="M4" i="8"/>
  <c r="K5" i="8"/>
  <c r="M5" i="8"/>
  <c r="K6" i="8"/>
  <c r="M6" i="8"/>
  <c r="K7" i="8"/>
  <c r="M7" i="8"/>
  <c r="K8" i="8"/>
  <c r="M8" i="8"/>
  <c r="K9" i="8"/>
  <c r="M9" i="8"/>
  <c r="K10" i="8"/>
  <c r="M10" i="8"/>
  <c r="K11" i="8"/>
  <c r="M11" i="8"/>
  <c r="K12" i="8"/>
  <c r="M12" i="8"/>
  <c r="K13" i="8"/>
  <c r="M13" i="8"/>
  <c r="K14" i="8"/>
  <c r="M14" i="8"/>
  <c r="K15" i="8"/>
  <c r="M15" i="8"/>
  <c r="U5" i="8"/>
  <c r="U3" i="8"/>
  <c r="T13" i="8"/>
  <c r="T14" i="8"/>
  <c r="T15" i="8"/>
  <c r="T16" i="8"/>
  <c r="T17" i="8"/>
  <c r="T18" i="8"/>
  <c r="T19" i="8"/>
  <c r="T20" i="8"/>
  <c r="T21" i="8"/>
  <c r="T22" i="8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U5" i="1"/>
  <c r="V3" i="1"/>
  <c r="U3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M2" i="5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K22" i="5"/>
  <c r="M22" i="5"/>
  <c r="K23" i="5"/>
  <c r="M23" i="5"/>
  <c r="K24" i="5"/>
  <c r="M24" i="5"/>
  <c r="K25" i="5"/>
  <c r="M25" i="5"/>
  <c r="K26" i="5"/>
  <c r="M26" i="5"/>
  <c r="K27" i="5"/>
  <c r="M27" i="5"/>
  <c r="K28" i="5"/>
  <c r="M28" i="5"/>
  <c r="K29" i="5"/>
  <c r="M29" i="5"/>
  <c r="K30" i="5"/>
  <c r="M30" i="5"/>
  <c r="K31" i="5"/>
  <c r="M31" i="5"/>
  <c r="K32" i="5"/>
  <c r="M32" i="5"/>
  <c r="K33" i="5"/>
  <c r="M33" i="5"/>
  <c r="K34" i="5"/>
  <c r="M34" i="5"/>
  <c r="K35" i="5"/>
  <c r="M35" i="5"/>
  <c r="K36" i="5"/>
  <c r="M36" i="5"/>
  <c r="K37" i="5"/>
  <c r="M37" i="5"/>
  <c r="K38" i="5"/>
  <c r="M38" i="5"/>
  <c r="K39" i="5"/>
  <c r="M39" i="5"/>
  <c r="K40" i="5"/>
  <c r="M40" i="5"/>
  <c r="K41" i="5"/>
  <c r="M41" i="5"/>
  <c r="K42" i="5"/>
  <c r="M42" i="5"/>
  <c r="K43" i="5"/>
  <c r="M43" i="5"/>
  <c r="K44" i="5"/>
  <c r="M44" i="5"/>
  <c r="K45" i="5"/>
  <c r="M45" i="5"/>
  <c r="K46" i="5"/>
  <c r="M46" i="5"/>
  <c r="K47" i="5"/>
  <c r="M47" i="5"/>
  <c r="K48" i="5"/>
  <c r="M48" i="5"/>
  <c r="K49" i="5"/>
  <c r="M49" i="5"/>
  <c r="K50" i="5"/>
  <c r="M50" i="5"/>
  <c r="K51" i="5"/>
  <c r="M51" i="5"/>
  <c r="K52" i="5"/>
  <c r="M52" i="5"/>
  <c r="K53" i="5"/>
  <c r="M53" i="5"/>
  <c r="K54" i="5"/>
  <c r="M54" i="5"/>
  <c r="K55" i="5"/>
  <c r="M55" i="5"/>
  <c r="K56" i="5"/>
  <c r="M56" i="5"/>
  <c r="K57" i="5"/>
  <c r="M57" i="5"/>
  <c r="K58" i="5"/>
  <c r="M58" i="5"/>
  <c r="K59" i="5"/>
  <c r="M59" i="5"/>
  <c r="K60" i="5"/>
  <c r="M60" i="5"/>
  <c r="K61" i="5"/>
  <c r="M61" i="5"/>
  <c r="AA5" i="5"/>
  <c r="AB3" i="5"/>
  <c r="AA3" i="5"/>
  <c r="U3" i="5"/>
  <c r="U8" i="5"/>
  <c r="N3" i="5"/>
  <c r="N2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U6" i="5"/>
  <c r="U7" i="5"/>
  <c r="N54" i="5"/>
  <c r="N55" i="5"/>
  <c r="N56" i="5"/>
  <c r="N57" i="5"/>
  <c r="N58" i="5"/>
  <c r="N59" i="5"/>
  <c r="N60" i="5"/>
  <c r="N61" i="5"/>
  <c r="V8" i="5"/>
  <c r="U5" i="5"/>
  <c r="V3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U3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V8" i="3"/>
  <c r="M2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K26" i="4"/>
  <c r="M26" i="4"/>
  <c r="K27" i="4"/>
  <c r="M27" i="4"/>
  <c r="K28" i="4"/>
  <c r="M28" i="4"/>
  <c r="K29" i="4"/>
  <c r="M29" i="4"/>
  <c r="K30" i="4"/>
  <c r="M30" i="4"/>
  <c r="K31" i="4"/>
  <c r="M31" i="4"/>
  <c r="K32" i="4"/>
  <c r="M32" i="4"/>
  <c r="K33" i="4"/>
  <c r="M33" i="4"/>
  <c r="K34" i="4"/>
  <c r="M34" i="4"/>
  <c r="K35" i="4"/>
  <c r="M35" i="4"/>
  <c r="K36" i="4"/>
  <c r="M36" i="4"/>
  <c r="K37" i="4"/>
  <c r="M37" i="4"/>
  <c r="K38" i="4"/>
  <c r="M38" i="4"/>
  <c r="K39" i="4"/>
  <c r="M39" i="4"/>
  <c r="K40" i="4"/>
  <c r="M40" i="4"/>
  <c r="K41" i="4"/>
  <c r="M41" i="4"/>
  <c r="K42" i="4"/>
  <c r="M42" i="4"/>
  <c r="K43" i="4"/>
  <c r="M43" i="4"/>
  <c r="K44" i="4"/>
  <c r="M44" i="4"/>
  <c r="K45" i="4"/>
  <c r="M45" i="4"/>
  <c r="K46" i="4"/>
  <c r="M46" i="4"/>
  <c r="K47" i="4"/>
  <c r="M47" i="4"/>
  <c r="K48" i="4"/>
  <c r="M48" i="4"/>
  <c r="K49" i="4"/>
  <c r="M49" i="4"/>
  <c r="K50" i="4"/>
  <c r="M50" i="4"/>
  <c r="K51" i="4"/>
  <c r="M51" i="4"/>
  <c r="K52" i="4"/>
  <c r="M52" i="4"/>
  <c r="K53" i="4"/>
  <c r="M53" i="4"/>
  <c r="K54" i="4"/>
  <c r="M54" i="4"/>
  <c r="K55" i="4"/>
  <c r="M55" i="4"/>
  <c r="K56" i="4"/>
  <c r="M56" i="4"/>
  <c r="K57" i="4"/>
  <c r="M57" i="4"/>
  <c r="K58" i="4"/>
  <c r="M58" i="4"/>
  <c r="K59" i="4"/>
  <c r="M59" i="4"/>
  <c r="K60" i="4"/>
  <c r="M60" i="4"/>
  <c r="K61" i="4"/>
  <c r="M61" i="4"/>
  <c r="K62" i="4"/>
  <c r="M62" i="4"/>
  <c r="K63" i="4"/>
  <c r="M63" i="4"/>
  <c r="K64" i="4"/>
  <c r="M64" i="4"/>
  <c r="K65" i="4"/>
  <c r="M65" i="4"/>
  <c r="K66" i="4"/>
  <c r="M66" i="4"/>
  <c r="K67" i="4"/>
  <c r="M67" i="4"/>
  <c r="K68" i="4"/>
  <c r="M68" i="4"/>
  <c r="K69" i="4"/>
  <c r="M69" i="4"/>
  <c r="M70" i="4"/>
  <c r="M71" i="4"/>
  <c r="M72" i="4"/>
  <c r="M73" i="4"/>
  <c r="K74" i="4"/>
  <c r="M74" i="4"/>
  <c r="K75" i="4"/>
  <c r="M75" i="4"/>
  <c r="K76" i="4"/>
  <c r="M76" i="4"/>
  <c r="K77" i="4"/>
  <c r="M77" i="4"/>
  <c r="K78" i="4"/>
  <c r="M78" i="4"/>
  <c r="K79" i="4"/>
  <c r="M79" i="4"/>
  <c r="AA5" i="4"/>
  <c r="AB3" i="4"/>
  <c r="AA3" i="4"/>
  <c r="U3" i="4"/>
  <c r="Z13" i="4"/>
  <c r="Z14" i="4"/>
  <c r="Z15" i="4"/>
  <c r="Z16" i="4"/>
  <c r="U5" i="4"/>
  <c r="V3" i="4"/>
  <c r="U27" i="5"/>
  <c r="V27" i="5"/>
  <c r="U25" i="5"/>
  <c r="V25" i="5"/>
  <c r="U23" i="5"/>
  <c r="V23" i="5"/>
  <c r="U21" i="5"/>
  <c r="V21" i="5"/>
  <c r="U19" i="5"/>
  <c r="V19" i="5"/>
  <c r="U17" i="5"/>
  <c r="V17" i="5"/>
  <c r="U15" i="5"/>
  <c r="V15" i="5"/>
  <c r="U13" i="5"/>
  <c r="V13" i="5"/>
  <c r="U14" i="5"/>
  <c r="V14" i="5"/>
  <c r="U12" i="5"/>
  <c r="V12" i="5"/>
  <c r="U26" i="5"/>
  <c r="V26" i="5"/>
  <c r="U24" i="5"/>
  <c r="V24" i="5"/>
  <c r="U22" i="5"/>
  <c r="V22" i="5"/>
  <c r="U20" i="5"/>
  <c r="V20" i="5"/>
  <c r="U9" i="5"/>
  <c r="U18" i="5"/>
  <c r="V18" i="5"/>
  <c r="U16" i="5"/>
  <c r="V16" i="5"/>
  <c r="Z17" i="4"/>
  <c r="T13" i="4"/>
  <c r="T14" i="4"/>
  <c r="T15" i="4"/>
  <c r="Z18" i="4"/>
  <c r="T16" i="4"/>
  <c r="M3" i="7"/>
  <c r="M4" i="7"/>
  <c r="M5" i="7"/>
  <c r="M2" i="7"/>
  <c r="Z19" i="4"/>
  <c r="T17" i="4"/>
  <c r="Z20" i="4"/>
  <c r="T18" i="4"/>
  <c r="Z21" i="4"/>
  <c r="T19" i="4"/>
  <c r="Z22" i="4"/>
  <c r="T20" i="4"/>
  <c r="Z23" i="4"/>
  <c r="T21" i="4"/>
  <c r="Z24" i="4"/>
  <c r="T22" i="4"/>
  <c r="Z25" i="4"/>
  <c r="T23" i="4"/>
  <c r="Z26" i="4"/>
  <c r="T24" i="4"/>
  <c r="Z27" i="4"/>
  <c r="T25" i="4"/>
  <c r="T26" i="4"/>
  <c r="T27" i="4"/>
  <c r="U8" i="4"/>
  <c r="U8" i="3"/>
  <c r="U20" i="3"/>
  <c r="U27" i="3"/>
  <c r="U25" i="3"/>
  <c r="U13" i="3"/>
  <c r="U17" i="3"/>
  <c r="U21" i="3"/>
  <c r="U26" i="3"/>
  <c r="U14" i="3"/>
  <c r="U24" i="3"/>
  <c r="U15" i="3"/>
  <c r="U19" i="3"/>
  <c r="U23" i="3"/>
  <c r="U18" i="3"/>
  <c r="U22" i="3"/>
  <c r="U16" i="3"/>
  <c r="U12" i="3"/>
  <c r="N7" i="4"/>
  <c r="N11" i="4"/>
  <c r="N15" i="4"/>
  <c r="N19" i="4"/>
  <c r="N23" i="4"/>
  <c r="N27" i="4"/>
  <c r="N31" i="4"/>
  <c r="N35" i="4"/>
  <c r="N39" i="4"/>
  <c r="N43" i="4"/>
  <c r="N47" i="4"/>
  <c r="N51" i="4"/>
  <c r="N55" i="4"/>
  <c r="N59" i="4"/>
  <c r="N4" i="4"/>
  <c r="N8" i="4"/>
  <c r="N12" i="4"/>
  <c r="N16" i="4"/>
  <c r="N20" i="4"/>
  <c r="N24" i="4"/>
  <c r="N28" i="4"/>
  <c r="N32" i="4"/>
  <c r="N36" i="4"/>
  <c r="N40" i="4"/>
  <c r="N44" i="4"/>
  <c r="N48" i="4"/>
  <c r="N52" i="4"/>
  <c r="N56" i="4"/>
  <c r="N60" i="4"/>
  <c r="N5" i="4"/>
  <c r="N9" i="4"/>
  <c r="N13" i="4"/>
  <c r="N17" i="4"/>
  <c r="N21" i="4"/>
  <c r="N25" i="4"/>
  <c r="N29" i="4"/>
  <c r="N33" i="4"/>
  <c r="N37" i="4"/>
  <c r="N41" i="4"/>
  <c r="N45" i="4"/>
  <c r="N49" i="4"/>
  <c r="N53" i="4"/>
  <c r="N57" i="4"/>
  <c r="N61" i="4"/>
  <c r="N6" i="4"/>
  <c r="N10" i="4"/>
  <c r="N14" i="4"/>
  <c r="N18" i="4"/>
  <c r="N22" i="4"/>
  <c r="N26" i="4"/>
  <c r="N30" i="4"/>
  <c r="N34" i="4"/>
  <c r="N38" i="4"/>
  <c r="N42" i="4"/>
  <c r="N46" i="4"/>
  <c r="N50" i="4"/>
  <c r="N54" i="4"/>
  <c r="N58" i="4"/>
  <c r="N62" i="4"/>
  <c r="U8" i="8"/>
  <c r="U21" i="8"/>
  <c r="U13" i="8"/>
  <c r="U22" i="8"/>
  <c r="U19" i="8"/>
  <c r="U20" i="8"/>
  <c r="U17" i="8"/>
  <c r="U18" i="8"/>
  <c r="U15" i="8"/>
  <c r="U16" i="8"/>
  <c r="N3" i="4"/>
  <c r="AA8" i="5"/>
  <c r="AA12" i="5"/>
  <c r="AA6" i="5"/>
  <c r="AA7" i="5"/>
  <c r="AB12" i="5"/>
  <c r="AA14" i="5"/>
  <c r="AB14" i="5"/>
  <c r="AA16" i="5"/>
  <c r="AB16" i="5"/>
  <c r="AA18" i="5"/>
  <c r="AB18" i="5"/>
  <c r="AA20" i="5"/>
  <c r="AB20" i="5"/>
  <c r="AA22" i="5"/>
  <c r="AB22" i="5"/>
  <c r="AA24" i="5"/>
  <c r="AB24" i="5"/>
  <c r="AA26" i="5"/>
  <c r="AB26" i="5"/>
  <c r="AA13" i="5"/>
  <c r="AB13" i="5"/>
  <c r="AA15" i="5"/>
  <c r="AB15" i="5"/>
  <c r="AA17" i="5"/>
  <c r="AB17" i="5"/>
  <c r="AA19" i="5"/>
  <c r="AB19" i="5"/>
  <c r="AA21" i="5"/>
  <c r="AB21" i="5"/>
  <c r="AA23" i="5"/>
  <c r="AB23" i="5"/>
  <c r="AA25" i="5"/>
  <c r="AB25" i="5"/>
  <c r="AA27" i="5"/>
  <c r="AB27" i="5"/>
  <c r="U8" i="1"/>
  <c r="U13" i="1"/>
  <c r="U17" i="1"/>
  <c r="U21" i="1"/>
  <c r="U25" i="1"/>
  <c r="U12" i="1"/>
  <c r="U16" i="1"/>
  <c r="U20" i="1"/>
  <c r="U24" i="1"/>
  <c r="U15" i="1"/>
  <c r="U19" i="1"/>
  <c r="U23" i="1"/>
  <c r="U27" i="1"/>
  <c r="U14" i="1"/>
  <c r="U18" i="1"/>
  <c r="U22" i="1"/>
  <c r="U26" i="1"/>
  <c r="AA8" i="4"/>
  <c r="AA14" i="4"/>
  <c r="N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AA6" i="4"/>
  <c r="AA7" i="4"/>
  <c r="AB14" i="4"/>
  <c r="AA16" i="4"/>
  <c r="AB16" i="4"/>
  <c r="AA18" i="4"/>
  <c r="AB18" i="4"/>
  <c r="AA20" i="4"/>
  <c r="AB20" i="4"/>
  <c r="AA22" i="4"/>
  <c r="AB22" i="4"/>
  <c r="AA24" i="4"/>
  <c r="AB24" i="4"/>
  <c r="AA26" i="4"/>
  <c r="AB26" i="4"/>
  <c r="AA13" i="4"/>
  <c r="AB13" i="4"/>
  <c r="AA15" i="4"/>
  <c r="AB15" i="4"/>
  <c r="AA17" i="4"/>
  <c r="AB17" i="4"/>
  <c r="AA19" i="4"/>
  <c r="AB19" i="4"/>
  <c r="AA21" i="4"/>
  <c r="AB21" i="4"/>
  <c r="AA23" i="4"/>
  <c r="AB23" i="4"/>
  <c r="AA25" i="4"/>
  <c r="AB25" i="4"/>
  <c r="AA27" i="4"/>
  <c r="AB27" i="4"/>
  <c r="AA9" i="4"/>
  <c r="AD9" i="4"/>
  <c r="AE9" i="4"/>
  <c r="AA12" i="4"/>
  <c r="AB12" i="4"/>
  <c r="N6" i="3"/>
  <c r="N10" i="3"/>
  <c r="N14" i="3"/>
  <c r="N18" i="3"/>
  <c r="N22" i="3"/>
  <c r="N26" i="3"/>
  <c r="N30" i="3"/>
  <c r="N34" i="3"/>
  <c r="N38" i="3"/>
  <c r="N42" i="3"/>
  <c r="N46" i="3"/>
  <c r="N50" i="3"/>
  <c r="N4" i="3"/>
  <c r="N8" i="3"/>
  <c r="N12" i="3"/>
  <c r="N16" i="3"/>
  <c r="N20" i="3"/>
  <c r="N24" i="3"/>
  <c r="N28" i="3"/>
  <c r="N32" i="3"/>
  <c r="N36" i="3"/>
  <c r="N40" i="3"/>
  <c r="N44" i="3"/>
  <c r="N48" i="3"/>
  <c r="Y8" i="3"/>
  <c r="Z8" i="3"/>
  <c r="N5" i="3"/>
  <c r="N9" i="3"/>
  <c r="N13" i="3"/>
  <c r="N17" i="3"/>
  <c r="N21" i="3"/>
  <c r="N25" i="3"/>
  <c r="N29" i="3"/>
  <c r="N33" i="3"/>
  <c r="N37" i="3"/>
  <c r="N41" i="3"/>
  <c r="N45" i="3"/>
  <c r="N49" i="3"/>
  <c r="N7" i="3"/>
  <c r="N11" i="3"/>
  <c r="N27" i="3"/>
  <c r="N43" i="3"/>
  <c r="N3" i="3"/>
  <c r="N19" i="3"/>
  <c r="N35" i="3"/>
  <c r="N51" i="3"/>
  <c r="N23" i="3"/>
  <c r="N39" i="3"/>
  <c r="U12" i="8"/>
  <c r="U14" i="8"/>
  <c r="N15" i="3"/>
  <c r="N31" i="3"/>
  <c r="N47" i="3"/>
  <c r="U12" i="4"/>
  <c r="U27" i="4"/>
  <c r="U25" i="4"/>
  <c r="U24" i="4"/>
  <c r="U23" i="4"/>
  <c r="U21" i="4"/>
  <c r="U20" i="4"/>
  <c r="U19" i="4"/>
  <c r="U17" i="4"/>
  <c r="U16" i="4"/>
  <c r="U15" i="4"/>
  <c r="U13" i="4"/>
  <c r="U26" i="4"/>
  <c r="U22" i="4"/>
  <c r="U18" i="4"/>
  <c r="U14" i="4"/>
  <c r="V8" i="4"/>
  <c r="AB8" i="4"/>
  <c r="AD8" i="4"/>
  <c r="AE8" i="4"/>
  <c r="AB8" i="5"/>
  <c r="N2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U33" i="1"/>
  <c r="U32" i="1"/>
  <c r="U31" i="1"/>
  <c r="U30" i="1"/>
  <c r="U29" i="1"/>
  <c r="U28" i="1"/>
  <c r="Y8" i="1"/>
  <c r="Z8" i="1"/>
  <c r="V3" i="8"/>
  <c r="V8" i="8"/>
  <c r="V8" i="1"/>
  <c r="N15" i="8"/>
  <c r="N14" i="8"/>
  <c r="N13" i="8"/>
  <c r="N12" i="8"/>
  <c r="N11" i="8"/>
  <c r="N10" i="8"/>
  <c r="N9" i="8"/>
  <c r="N8" i="8"/>
  <c r="N7" i="8"/>
  <c r="N6" i="8"/>
  <c r="N5" i="8"/>
  <c r="N4" i="8"/>
  <c r="N3" i="8"/>
  <c r="N2" i="8"/>
  <c r="Y8" i="8"/>
  <c r="Z8" i="8"/>
  <c r="V8" i="6"/>
  <c r="V27" i="6"/>
  <c r="V16" i="6"/>
  <c r="V20" i="6"/>
  <c r="V23" i="6"/>
  <c r="V18" i="6"/>
  <c r="V22" i="6"/>
  <c r="V26" i="6"/>
  <c r="V24" i="6"/>
  <c r="V17" i="6"/>
  <c r="V21" i="6"/>
  <c r="V25" i="6"/>
  <c r="V15" i="6"/>
  <c r="V12" i="6"/>
  <c r="V19" i="6"/>
  <c r="V14" i="6"/>
  <c r="V13" i="6"/>
  <c r="AD8" i="5"/>
  <c r="AE8" i="5"/>
  <c r="AA9" i="5"/>
  <c r="AD9" i="5"/>
  <c r="AE9" i="5"/>
  <c r="AF13" i="5"/>
  <c r="AF14" i="5"/>
  <c r="AF9" i="5"/>
  <c r="AF13" i="4"/>
  <c r="AF14" i="4"/>
  <c r="AF9" i="4"/>
  <c r="O10" i="6"/>
  <c r="Z8" i="6"/>
  <c r="AA8" i="6"/>
  <c r="O3" i="6"/>
  <c r="O7" i="6"/>
  <c r="O11" i="6"/>
  <c r="O4" i="6"/>
  <c r="O8" i="6"/>
  <c r="O2" i="6"/>
  <c r="O5" i="6"/>
  <c r="O9" i="6"/>
  <c r="O6" i="6"/>
  <c r="N2" i="3"/>
  <c r="W8" i="6"/>
  <c r="V6" i="6"/>
  <c r="V7" i="6"/>
  <c r="V9" i="6"/>
  <c r="AB13" i="6"/>
  <c r="AB14" i="6"/>
  <c r="AB9" i="6"/>
  <c r="Z9" i="6"/>
  <c r="AA9" i="6"/>
  <c r="U6" i="3"/>
  <c r="U7" i="3"/>
  <c r="U9" i="3"/>
  <c r="Y9" i="3"/>
  <c r="Z9" i="3"/>
  <c r="AA13" i="3"/>
  <c r="AA14" i="3"/>
  <c r="AA9" i="3"/>
  <c r="W13" i="6"/>
  <c r="W14" i="6"/>
  <c r="W19" i="6"/>
  <c r="W12" i="6"/>
  <c r="W15" i="6"/>
  <c r="W25" i="6"/>
  <c r="W21" i="6"/>
  <c r="W17" i="6"/>
  <c r="W24" i="6"/>
  <c r="W26" i="6"/>
  <c r="W22" i="6"/>
  <c r="W18" i="6"/>
  <c r="W23" i="6"/>
  <c r="W20" i="6"/>
  <c r="W16" i="6"/>
  <c r="W27" i="6"/>
  <c r="U6" i="8"/>
  <c r="U7" i="8"/>
  <c r="U9" i="8"/>
  <c r="Y9" i="8"/>
  <c r="Z9" i="8"/>
  <c r="U6" i="1"/>
  <c r="U7" i="1"/>
  <c r="U9" i="1"/>
  <c r="Y9" i="1"/>
  <c r="Z9" i="1"/>
  <c r="V28" i="1"/>
  <c r="V29" i="1"/>
  <c r="V30" i="1"/>
  <c r="V31" i="1"/>
  <c r="V32" i="1"/>
  <c r="V33" i="1"/>
  <c r="U6" i="4"/>
  <c r="U7" i="4"/>
  <c r="V14" i="4"/>
  <c r="V18" i="4"/>
  <c r="V22" i="4"/>
  <c r="V26" i="4"/>
  <c r="V13" i="4"/>
  <c r="V15" i="4"/>
  <c r="V16" i="4"/>
  <c r="V17" i="4"/>
  <c r="V19" i="4"/>
  <c r="V20" i="4"/>
  <c r="V21" i="4"/>
  <c r="V23" i="4"/>
  <c r="V24" i="4"/>
  <c r="V25" i="4"/>
  <c r="V27" i="4"/>
  <c r="V12" i="4"/>
  <c r="V14" i="8"/>
  <c r="V12" i="8"/>
  <c r="V26" i="1"/>
  <c r="V22" i="1"/>
  <c r="V18" i="1"/>
  <c r="V14" i="1"/>
  <c r="V27" i="1"/>
  <c r="V23" i="1"/>
  <c r="V19" i="1"/>
  <c r="V15" i="1"/>
  <c r="V24" i="1"/>
  <c r="V20" i="1"/>
  <c r="V16" i="1"/>
  <c r="V12" i="1"/>
  <c r="V25" i="1"/>
  <c r="V21" i="1"/>
  <c r="V17" i="1"/>
  <c r="V13" i="1"/>
  <c r="V16" i="8"/>
  <c r="V15" i="8"/>
  <c r="V18" i="8"/>
  <c r="V17" i="8"/>
  <c r="V20" i="8"/>
  <c r="V19" i="8"/>
  <c r="V22" i="8"/>
  <c r="V13" i="8"/>
  <c r="V21" i="8"/>
  <c r="V12" i="3"/>
  <c r="V16" i="3"/>
  <c r="V22" i="3"/>
  <c r="V18" i="3"/>
  <c r="V23" i="3"/>
  <c r="V19" i="3"/>
  <c r="V15" i="3"/>
  <c r="V24" i="3"/>
  <c r="V14" i="3"/>
  <c r="V26" i="3"/>
  <c r="V21" i="3"/>
  <c r="V17" i="3"/>
  <c r="V13" i="3"/>
  <c r="V25" i="3"/>
  <c r="V27" i="3"/>
  <c r="V20" i="3"/>
  <c r="U9" i="4"/>
</calcChain>
</file>

<file path=xl/sharedStrings.xml><?xml version="1.0" encoding="utf-8"?>
<sst xmlns="http://schemas.openxmlformats.org/spreadsheetml/2006/main" count="1973" uniqueCount="220">
  <si>
    <t>Virus name (disease full name)</t>
  </si>
  <si>
    <t>Strain</t>
  </si>
  <si>
    <t>Species affected (avian or swine)</t>
  </si>
  <si>
    <t>Product group</t>
  </si>
  <si>
    <t>Product/or medium</t>
  </si>
  <si>
    <t>Treatment (heat/acid/fermentation)</t>
  </si>
  <si>
    <t>aw</t>
  </si>
  <si>
    <t>RH (Relative Humidity) %</t>
  </si>
  <si>
    <t>pH</t>
  </si>
  <si>
    <t>T (°C)</t>
  </si>
  <si>
    <t>D (min)</t>
  </si>
  <si>
    <t>z (°C)</t>
  </si>
  <si>
    <t>Log D (without outliers)</t>
  </si>
  <si>
    <t>log D (model)</t>
  </si>
  <si>
    <t>Ref</t>
  </si>
  <si>
    <t>Year</t>
  </si>
  <si>
    <t>Title</t>
  </si>
  <si>
    <t>Remarks</t>
  </si>
  <si>
    <t>Data analysis Avian Influenza (without outliers)</t>
  </si>
  <si>
    <t>Data analysis Avian Influenza (all data)</t>
  </si>
  <si>
    <t>Avian influenza</t>
  </si>
  <si>
    <t>HPAIV/PA/83</t>
  </si>
  <si>
    <t>avian</t>
  </si>
  <si>
    <t>Egg based product</t>
  </si>
  <si>
    <t xml:space="preserve">Fortified egg yolk </t>
  </si>
  <si>
    <t>Heat</t>
  </si>
  <si>
    <t>Chmielewski</t>
  </si>
  <si>
    <t>D-value calculated by the authors</t>
  </si>
  <si>
    <t>Product:</t>
  </si>
  <si>
    <t>without dried egg white and without the resistant fraction D values (outliers)</t>
  </si>
  <si>
    <t>All</t>
  </si>
  <si>
    <t>z:</t>
  </si>
  <si>
    <t>slope</t>
  </si>
  <si>
    <t>10% sugared egg yolk</t>
  </si>
  <si>
    <t>Tref (Reference temperature):</t>
  </si>
  <si>
    <t>student t:</t>
  </si>
  <si>
    <t>Plain egg yolk</t>
  </si>
  <si>
    <t>RSS:</t>
  </si>
  <si>
    <t>st dev:</t>
  </si>
  <si>
    <t>Log reduction in 30 min at ref temp</t>
  </si>
  <si>
    <r>
      <t>Log reduction in 30 min at 100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</si>
  <si>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t>10% salted egg yolk</t>
  </si>
  <si>
    <t>log Dref:</t>
  </si>
  <si>
    <t>intercept</t>
  </si>
  <si>
    <t>Dref (min)=</t>
  </si>
  <si>
    <t>log Dref 95%</t>
  </si>
  <si>
    <t>Dref upper 95% (min)=</t>
  </si>
  <si>
    <t>Egg substitute (with fat)</t>
  </si>
  <si>
    <t>T</t>
  </si>
  <si>
    <t>Without outliers (model)</t>
  </si>
  <si>
    <t>Without outliers upper (95%)</t>
  </si>
  <si>
    <t>All data (model)</t>
  </si>
  <si>
    <t>All data upper 95%</t>
  </si>
  <si>
    <t>T (Temperature) =</t>
  </si>
  <si>
    <t>Homogenized whole egg</t>
  </si>
  <si>
    <t xml:space="preserve">Log D=Log Dref(95%) – (T-Tref)/z =                       </t>
  </si>
  <si>
    <t>High Pathogenicity A/chicken/Pennsylvania/1370/83 (H5N2)</t>
  </si>
  <si>
    <t>Low fat egg product</t>
  </si>
  <si>
    <t>Egg white</t>
  </si>
  <si>
    <t>Thermal inactivation of avian influenza virus and newcastle disease virus in a fat-free egg product</t>
  </si>
  <si>
    <t>The z value was 4.4C.</t>
  </si>
  <si>
    <t>D (min) at T</t>
  </si>
  <si>
    <t>Low pathog. A/chicken/New York/13142/94 (H7N2)</t>
  </si>
  <si>
    <t>The z value was 0.4C.</t>
  </si>
  <si>
    <t>H2N3</t>
  </si>
  <si>
    <t>Liquid culture medium</t>
  </si>
  <si>
    <t>Negovetich</t>
  </si>
  <si>
    <t>Thermostability of subpopulations of H2N3 influenza virus isolates from mallard ducks</t>
  </si>
  <si>
    <t>Sensitive fraction</t>
  </si>
  <si>
    <t>H7N7</t>
  </si>
  <si>
    <t>liquid culture medium</t>
  </si>
  <si>
    <t>Isbarn</t>
  </si>
  <si>
    <t>Inactivation of avian influenza virus by heat and high hydrostatic pressure</t>
  </si>
  <si>
    <t>Experimental longest datapoints from the graph were taken for D value calculation</t>
  </si>
  <si>
    <t>liquid medium with 1% serum</t>
  </si>
  <si>
    <t>solid food</t>
  </si>
  <si>
    <t>Chicken meat</t>
  </si>
  <si>
    <t>AIV PA/83</t>
  </si>
  <si>
    <t>Chicken breast</t>
  </si>
  <si>
    <t>Thomas</t>
  </si>
  <si>
    <t>Thermal inactivation of avian influenza and newcastle disease viruses in chicken meat</t>
  </si>
  <si>
    <t>D values presented by authors</t>
  </si>
  <si>
    <t>LPAI/NY/H7N2</t>
  </si>
  <si>
    <t>liquid food</t>
  </si>
  <si>
    <t>Swayne</t>
  </si>
  <si>
    <t>Heat inactivation of avian influenza and Newcastle disease viruses in egg products</t>
  </si>
  <si>
    <t xml:space="preserve">Liquid egg white </t>
  </si>
  <si>
    <t xml:space="preserve">10% salted yolk </t>
  </si>
  <si>
    <t>HPAI/PA/H5N2</t>
  </si>
  <si>
    <t>Thermoresistant fraction</t>
  </si>
  <si>
    <t>A/chicken/PA/1370/83 (H5N2) (PA/83)</t>
  </si>
  <si>
    <t>Dry product</t>
  </si>
  <si>
    <t>Dried egg white</t>
  </si>
  <si>
    <t>Thermal inactivation of H5N2 high-pathogenicity avian influenza virus in dried egg white with 7.5% moisture</t>
  </si>
  <si>
    <t>D-values calculated by authors</t>
  </si>
  <si>
    <t>7 articles</t>
  </si>
  <si>
    <t>RH (Relative Humidity)</t>
  </si>
  <si>
    <t>Log D</t>
  </si>
  <si>
    <t>Data analysis</t>
  </si>
  <si>
    <t>Foot and Mouth Disease</t>
  </si>
  <si>
    <t>FMDV O1 BFS 1860/UK 67</t>
  </si>
  <si>
    <t>Multiple</t>
  </si>
  <si>
    <t>Liquid feed</t>
  </si>
  <si>
    <t>Meat slurry</t>
  </si>
  <si>
    <t>Gubbins</t>
  </si>
  <si>
    <t>Calculated based on the estimates from the authors in table V</t>
  </si>
  <si>
    <t>Mix of meat slurry and dry meal with adjusted pH</t>
  </si>
  <si>
    <t>Log D model</t>
  </si>
  <si>
    <t>Log D model 95% upper limit</t>
  </si>
  <si>
    <t>T=</t>
  </si>
  <si>
    <t>Bovine tongue epithelium</t>
  </si>
  <si>
    <t xml:space="preserve">Log D=Log Dref(95%) – (T-Tref)/z=                       </t>
  </si>
  <si>
    <t>ND</t>
  </si>
  <si>
    <t>milk</t>
  </si>
  <si>
    <t>Aly</t>
  </si>
  <si>
    <t>Inactivation of foot and mouth disease virus in milk and milk products</t>
  </si>
  <si>
    <t>liquid product</t>
  </si>
  <si>
    <t>slurry</t>
  </si>
  <si>
    <t xml:space="preserve">Turner </t>
  </si>
  <si>
    <t>The inactivation of foot and mouth disease, Aujeszky's disease and classical swine fever viruses in pig slurry</t>
  </si>
  <si>
    <t>D value calculated based on the maximum reduction value, one before the detection limit. Warmup time was not included but had an effect.</t>
  </si>
  <si>
    <t>culture medium</t>
  </si>
  <si>
    <t>Bachrach</t>
  </si>
  <si>
    <t>FOOT-AND-MOUTH DISEASE VIRUS - STABILITY OF ITS RIBONUCLEIC ACID CORE TO ACID AND TO HEAT</t>
  </si>
  <si>
    <t>Inactivation of Foot-and-Mouth Disease Virus by pH and Temperature Changes and by Formaldehyde</t>
  </si>
  <si>
    <t>calculated by authors, presented in text</t>
  </si>
  <si>
    <t>NS</t>
  </si>
  <si>
    <t>Williams</t>
  </si>
  <si>
    <t>Persistence of Disease Agents in Carcases and Animal Products</t>
  </si>
  <si>
    <t>Refs from APHA Risk assessment and found via the references or random search</t>
  </si>
  <si>
    <t>Ryan</t>
  </si>
  <si>
    <t>Foot‐and‐Mouth Disease Virus Concentrations in Products of Animal Origin</t>
  </si>
  <si>
    <t>The virus was more sensitive at lower pH</t>
  </si>
  <si>
    <t>cited in Donaldson 2011</t>
  </si>
  <si>
    <t>original paper by Aly and Gaber 2007</t>
  </si>
  <si>
    <t xml:space="preserve">Ryan </t>
  </si>
  <si>
    <t>average values are taken, also for the temperature. Milk heated for powder production</t>
  </si>
  <si>
    <t>from outbreaks in Thailand</t>
  </si>
  <si>
    <t>liquid culture media</t>
  </si>
  <si>
    <t>PBS buffer</t>
  </si>
  <si>
    <t>Kamolsiripichaiporn</t>
  </si>
  <si>
    <t>Thermal Inactivation of Foot-and-Mouth Disease Viruses in Suspension</t>
  </si>
  <si>
    <t>D values calculated by the authors, the max and min Ds are used for each temperature presented in the abstract. These seem to have lower heat resistance compared to other studies</t>
  </si>
  <si>
    <t>Pharo</t>
  </si>
  <si>
    <t>Foot-and-mouth disease: an assessment of the risks facing New Zealand</t>
  </si>
  <si>
    <t>data originally was exctacted from Bachrach et al., 1975.</t>
  </si>
  <si>
    <t>liquid media</t>
  </si>
  <si>
    <t>aqueous media</t>
  </si>
  <si>
    <t>Donaldson 2011 (DEFRA report)</t>
  </si>
  <si>
    <t>The relative thermo-stability of selected viruses that pose a hazard in Category 3 Animal By-Products used as incoming materials in biogas and composting plants.</t>
  </si>
  <si>
    <t>Calculated based on the D for 3 log reduction. The value was the same for "other media" as wll.</t>
  </si>
  <si>
    <t>10 articles</t>
  </si>
  <si>
    <t>Log D (min)</t>
  </si>
  <si>
    <t>Newcastle Disease</t>
  </si>
  <si>
    <t>NDV/CA/2002</t>
  </si>
  <si>
    <t>Dref upper 95% (min)</t>
  </si>
  <si>
    <t>(AMPV-1)/chicken/California/212676/2002</t>
  </si>
  <si>
    <t>z value was 4.7C</t>
  </si>
  <si>
    <t>lNDV AMPV-1/chicken/United States/B1/1948</t>
  </si>
  <si>
    <t>z value was 1C</t>
  </si>
  <si>
    <t>CA/02</t>
  </si>
  <si>
    <t>Chicken thigh</t>
  </si>
  <si>
    <t>Ulster</t>
  </si>
  <si>
    <t>B1</t>
  </si>
  <si>
    <t>Herts 33/56</t>
  </si>
  <si>
    <t>Chicken homogenate with 15% fat, resistant fraction</t>
  </si>
  <si>
    <t>Alexander</t>
  </si>
  <si>
    <t>Heat inactivation of Newcastle disease virus (strain Herts 33/56) in artificially infected chicken meat homogenate</t>
  </si>
  <si>
    <t>D values presented by authors, but calculated based on the resistant fraction of the curves, representing the extreme resistance.</t>
  </si>
  <si>
    <t>6 articles</t>
  </si>
  <si>
    <t>Porcine Epidemic diarrhea</t>
  </si>
  <si>
    <t>NVSL</t>
  </si>
  <si>
    <t>swine</t>
  </si>
  <si>
    <t>Dry feed ingredients</t>
  </si>
  <si>
    <t>Pig feed ingredients</t>
  </si>
  <si>
    <t>3.5-8.4</t>
  </si>
  <si>
    <t>Trudeau</t>
  </si>
  <si>
    <t>The D=delta from the Weibull model, for the 1st one log reduction. Average for all ingredients. No signif diff between ingredients</t>
  </si>
  <si>
    <t>Calculated based on max. Log reduction after 30 min. Average for all ingredients.</t>
  </si>
  <si>
    <t>Dry feed</t>
  </si>
  <si>
    <t>Dry pig feed</t>
  </si>
  <si>
    <t>Weibul model, calculated by authors</t>
  </si>
  <si>
    <t>Linear model, calculated by authors</t>
  </si>
  <si>
    <t>Too little data, prediction with high uncertainty</t>
  </si>
  <si>
    <t>log D</t>
  </si>
  <si>
    <t>African Swine Fever</t>
  </si>
  <si>
    <t>Lilongwe 20/1</t>
  </si>
  <si>
    <t>Turner</t>
  </si>
  <si>
    <t>Laboratory-scale inactivation of African swine fever virus and swine vesicular disease virus in pig slurry</t>
  </si>
  <si>
    <t>Calculated based on the graph (fig 1), the last point before the detection limit, t5hours.</t>
  </si>
  <si>
    <t>slurry with total solids 0.5%</t>
  </si>
  <si>
    <t>Calculated based on data, the last point before the detection limit</t>
  </si>
  <si>
    <t>slurry with total solids 1%</t>
  </si>
  <si>
    <t>slurry with total solids 2.5%</t>
  </si>
  <si>
    <t>slurry with total solids 5%</t>
  </si>
  <si>
    <t>F86</t>
  </si>
  <si>
    <t>Plowright</t>
  </si>
  <si>
    <t>STABILITY OF AFRICAN SWINE FEVER VIRUS WITH PARTICULAR REFERENCE TO HEAT AND PH INACTIVATION</t>
  </si>
  <si>
    <t>Calculated based on data in Table 6, the last point before the detection limit</t>
  </si>
  <si>
    <t>Calculated based on data in fig 1, the last point before the tail, timepoint 60 min</t>
  </si>
  <si>
    <t>Calculated based on data in fig 1, the last point before the tail, timepoint 15 min</t>
  </si>
  <si>
    <t>Tengani</t>
  </si>
  <si>
    <t>liquid culture medium with 25% pig serum</t>
  </si>
  <si>
    <t>Calculated based on data in fig 2, the last point before the tail, timepoint 90 min</t>
  </si>
  <si>
    <t>Calculated based on data in fig 2, the last point before the detection limit, timepoint 5 min</t>
  </si>
  <si>
    <t>Half-life (min)</t>
  </si>
  <si>
    <t>D (min)=half-life*3.3</t>
  </si>
  <si>
    <t>Porcine Reproductive and Respiratory syndrome</t>
  </si>
  <si>
    <t>A field isolate</t>
  </si>
  <si>
    <t>liquid culture</t>
  </si>
  <si>
    <t>Linhares</t>
  </si>
  <si>
    <t>Infectivity of PRRS virus in pig manure at different temperatures</t>
  </si>
  <si>
    <t>In the paper the inactivation time is presented as half-life, was multiplied by 3.3 to get to D-values.</t>
  </si>
  <si>
    <t>manure</t>
  </si>
  <si>
    <t>liquid medium</t>
  </si>
  <si>
    <t>Bloemraad</t>
  </si>
  <si>
    <t>Porcine reproductive and respiratory syndrome: temperature and pH stability of Lelystad virus and its survival in tissue specimens from viraemic pigs</t>
  </si>
  <si>
    <t>95% upper limit</t>
  </si>
  <si>
    <t>Classical Swine Fever</t>
  </si>
  <si>
    <t>86/2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</si>
</sst>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0.000"/>
    <numFmt numFmtId="166" formatCode="0.0000"/>
    <numFmt numFmtId="167" formatCode="0.000000000000000"/>
    <numFmt numFmtId="168" formatCode="0.0000000000000000"/>
    <numFmt numFmtId="169" formatCode="0.0000000000000"/>
    <numFmt numFmtId="170" formatCode="0.00000000000000"/>
  </numFmts>
  <fonts count="9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</font>
    <font>
      <sz val="11"/>
      <color rgb="FF0061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4" fillId="4" borderId="0" applyNumberFormat="0" applyBorder="0" applyAlignment="0" applyProtection="0"/>
    <xf numFmtId="0" fontId="5" fillId="5" borderId="3" applyNumberFormat="0" applyFont="0" applyAlignment="0" applyProtection="0"/>
    <xf numFmtId="0" fontId="6" fillId="6" borderId="1" applyNumberFormat="0" applyAlignment="0" applyProtection="0"/>
    <xf numFmtId="0" fontId="8" fillId="7" borderId="0" applyNumberFormat="0" applyBorder="0" applyAlignment="0" applyProtection="0"/>
  </cellStyleXfs>
  <cellXfs count="39">
    <xf numFmtId="0" fontId="0" fillId="0" borderId="0" xfId="0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1" fillId="2" borderId="1" xfId="1" applyAlignment="1">
      <alignment horizontal="center" wrapText="1"/>
    </xf>
    <xf numFmtId="0" fontId="1" fillId="2" borderId="1" xfId="1" applyAlignment="1">
      <alignment horizontal="left" wrapText="1"/>
    </xf>
    <xf numFmtId="0" fontId="2" fillId="0" borderId="0" xfId="0" applyFont="1" applyAlignment="1">
      <alignment wrapText="1"/>
    </xf>
    <xf numFmtId="164" fontId="0" fillId="0" borderId="0" xfId="0" applyNumberFormat="1"/>
    <xf numFmtId="2" fontId="0" fillId="0" borderId="0" xfId="0" applyNumberFormat="1"/>
    <xf numFmtId="9" fontId="0" fillId="0" borderId="0" xfId="0" applyNumberFormat="1"/>
    <xf numFmtId="0" fontId="3" fillId="0" borderId="0" xfId="0" applyFont="1"/>
    <xf numFmtId="0" fontId="0" fillId="3" borderId="0" xfId="0" applyFill="1"/>
    <xf numFmtId="0" fontId="4" fillId="4" borderId="0" xfId="2"/>
    <xf numFmtId="0" fontId="0" fillId="5" borderId="3" xfId="3" applyFont="1"/>
    <xf numFmtId="0" fontId="2" fillId="0" borderId="0" xfId="0" applyFont="1"/>
    <xf numFmtId="2" fontId="0" fillId="0" borderId="0" xfId="0" applyNumberFormat="1" applyAlignment="1">
      <alignment horizontal="center"/>
    </xf>
    <xf numFmtId="2" fontId="0" fillId="5" borderId="3" xfId="3" applyNumberFormat="1" applyFont="1" applyAlignment="1">
      <alignment horizontal="center"/>
    </xf>
    <xf numFmtId="2" fontId="4" fillId="4" borderId="0" xfId="2" applyNumberFormat="1" applyAlignment="1">
      <alignment horizontal="center"/>
    </xf>
    <xf numFmtId="166" fontId="0" fillId="0" borderId="0" xfId="0" applyNumberFormat="1"/>
    <xf numFmtId="167" fontId="0" fillId="0" borderId="0" xfId="0" applyNumberFormat="1"/>
    <xf numFmtId="0" fontId="0" fillId="0" borderId="4" xfId="0" applyBorder="1"/>
    <xf numFmtId="165" fontId="0" fillId="0" borderId="4" xfId="0" applyNumberFormat="1" applyBorder="1"/>
    <xf numFmtId="0" fontId="6" fillId="6" borderId="1" xfId="4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2" fillId="0" borderId="5" xfId="0" applyFont="1" applyBorder="1"/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0" fillId="0" borderId="8" xfId="0" applyBorder="1"/>
    <xf numFmtId="0" fontId="0" fillId="0" borderId="9" xfId="0" applyBorder="1"/>
    <xf numFmtId="2" fontId="8" fillId="7" borderId="0" xfId="5" applyNumberForma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7" xfId="0" applyBorder="1"/>
    <xf numFmtId="0" fontId="6" fillId="6" borderId="13" xfId="4" applyBorder="1"/>
    <xf numFmtId="1" fontId="0" fillId="0" borderId="0" xfId="0" applyNumberFormat="1"/>
  </cellXfs>
  <cellStyles count="6">
    <cellStyle name="Berechnung" xfId="1" builtinId="22"/>
    <cellStyle name="Eingabe" xfId="4" builtinId="20"/>
    <cellStyle name="Gut" xfId="5" builtinId="26"/>
    <cellStyle name="Notiz" xfId="3" builtinId="10"/>
    <cellStyle name="Schlecht" xfId="2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Avian Influenza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5"/>
          <c:order val="3"/>
          <c:tx>
            <c:strRef>
              <c:f>AI!$AB$11</c:f>
              <c:strCache>
                <c:ptCount val="1"/>
                <c:pt idx="0">
                  <c:v>All data upper 95%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AI!$Z$12:$Z$27</c:f>
              <c:numCache>
                <c:formatCode>General</c:formatCode>
                <c:ptCount val="16"/>
                <c:pt idx="0">
                  <c:v>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65</c:v>
                </c:pt>
                <c:pt idx="5">
                  <c:v>70</c:v>
                </c:pt>
                <c:pt idx="6">
                  <c:v>75</c:v>
                </c:pt>
                <c:pt idx="7">
                  <c:v>80</c:v>
                </c:pt>
                <c:pt idx="8">
                  <c:v>85</c:v>
                </c:pt>
                <c:pt idx="9">
                  <c:v>90</c:v>
                </c:pt>
                <c:pt idx="10">
                  <c:v>95</c:v>
                </c:pt>
                <c:pt idx="11">
                  <c:v>100</c:v>
                </c:pt>
                <c:pt idx="12">
                  <c:v>105</c:v>
                </c:pt>
                <c:pt idx="13">
                  <c:v>110</c:v>
                </c:pt>
                <c:pt idx="14">
                  <c:v>115</c:v>
                </c:pt>
                <c:pt idx="15">
                  <c:v>120</c:v>
                </c:pt>
              </c:numCache>
            </c:numRef>
          </c:xVal>
          <c:yVal>
            <c:numRef>
              <c:f>AI!$AB$12:$AB$27</c:f>
              <c:numCache>
                <c:formatCode>0.00</c:formatCode>
                <c:ptCount val="16"/>
                <c:pt idx="0">
                  <c:v>4.5658239245258123</c:v>
                </c:pt>
                <c:pt idx="1">
                  <c:v>4.0027144056879091</c:v>
                </c:pt>
                <c:pt idx="2">
                  <c:v>3.439604886850006</c:v>
                </c:pt>
                <c:pt idx="3">
                  <c:v>2.8764953680121028</c:v>
                </c:pt>
                <c:pt idx="4">
                  <c:v>2.3133858491741996</c:v>
                </c:pt>
                <c:pt idx="5">
                  <c:v>1.7502763303362965</c:v>
                </c:pt>
                <c:pt idx="6">
                  <c:v>1.1871668114983933</c:v>
                </c:pt>
                <c:pt idx="7">
                  <c:v>0.62405729266049037</c:v>
                </c:pt>
                <c:pt idx="8">
                  <c:v>6.0947773822586981E-2</c:v>
                </c:pt>
                <c:pt idx="9">
                  <c:v>-0.50216174501531574</c:v>
                </c:pt>
                <c:pt idx="10">
                  <c:v>-1.0652712638532189</c:v>
                </c:pt>
                <c:pt idx="11">
                  <c:v>-1.6283807826911225</c:v>
                </c:pt>
                <c:pt idx="12">
                  <c:v>-2.1914903015290248</c:v>
                </c:pt>
                <c:pt idx="13">
                  <c:v>-2.754599820366928</c:v>
                </c:pt>
                <c:pt idx="14">
                  <c:v>-3.3177093392048311</c:v>
                </c:pt>
                <c:pt idx="15">
                  <c:v>-3.8808188580427343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777-40D6-BBEF-96F5B491989B}"/>
            </c:ext>
          </c:extLst>
        </c:ser>
        <c:ser>
          <c:idx val="6"/>
          <c:order val="4"/>
          <c:tx>
            <c:strRef>
              <c:f>AI!$AA$11</c:f>
              <c:strCache>
                <c:ptCount val="1"/>
                <c:pt idx="0">
                  <c:v>All data (model)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AI!$Z$12:$Z$27</c:f>
              <c:numCache>
                <c:formatCode>General</c:formatCode>
                <c:ptCount val="16"/>
                <c:pt idx="0">
                  <c:v>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65</c:v>
                </c:pt>
                <c:pt idx="5">
                  <c:v>70</c:v>
                </c:pt>
                <c:pt idx="6">
                  <c:v>75</c:v>
                </c:pt>
                <c:pt idx="7">
                  <c:v>80</c:v>
                </c:pt>
                <c:pt idx="8">
                  <c:v>85</c:v>
                </c:pt>
                <c:pt idx="9">
                  <c:v>90</c:v>
                </c:pt>
                <c:pt idx="10">
                  <c:v>95</c:v>
                </c:pt>
                <c:pt idx="11">
                  <c:v>100</c:v>
                </c:pt>
                <c:pt idx="12">
                  <c:v>105</c:v>
                </c:pt>
                <c:pt idx="13">
                  <c:v>110</c:v>
                </c:pt>
                <c:pt idx="14">
                  <c:v>115</c:v>
                </c:pt>
                <c:pt idx="15">
                  <c:v>120</c:v>
                </c:pt>
              </c:numCache>
            </c:numRef>
          </c:xVal>
          <c:yVal>
            <c:numRef>
              <c:f>AI!$AA$12:$AA$27</c:f>
              <c:numCache>
                <c:formatCode>0.00</c:formatCode>
                <c:ptCount val="16"/>
                <c:pt idx="0">
                  <c:v>2.0046633947113928</c:v>
                </c:pt>
                <c:pt idx="1">
                  <c:v>1.4415538758734896</c:v>
                </c:pt>
                <c:pt idx="2">
                  <c:v>0.87844435703558665</c:v>
                </c:pt>
                <c:pt idx="3">
                  <c:v>0.31533483819768349</c:v>
                </c:pt>
                <c:pt idx="4">
                  <c:v>-0.24777468064021957</c:v>
                </c:pt>
                <c:pt idx="5">
                  <c:v>-0.81088419947812262</c:v>
                </c:pt>
                <c:pt idx="6">
                  <c:v>-1.3739937183160258</c:v>
                </c:pt>
                <c:pt idx="7">
                  <c:v>-1.9371032371539287</c:v>
                </c:pt>
                <c:pt idx="8">
                  <c:v>-2.5002127559918321</c:v>
                </c:pt>
                <c:pt idx="9">
                  <c:v>-3.0633222748297348</c:v>
                </c:pt>
                <c:pt idx="10">
                  <c:v>-3.626431793667638</c:v>
                </c:pt>
                <c:pt idx="11">
                  <c:v>-4.1895413125055416</c:v>
                </c:pt>
                <c:pt idx="12">
                  <c:v>-4.7526508313434439</c:v>
                </c:pt>
                <c:pt idx="13">
                  <c:v>-5.3157603501813471</c:v>
                </c:pt>
                <c:pt idx="14">
                  <c:v>-5.8788698690192502</c:v>
                </c:pt>
                <c:pt idx="15">
                  <c:v>-6.4419793878571534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777-40D6-BBEF-96F5B4919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270968"/>
        <c:axId val="222270640"/>
      </c:scatterChart>
      <c:scatterChart>
        <c:scatterStyle val="lineMarker"/>
        <c:varyColors val="0"/>
        <c:ser>
          <c:idx val="0"/>
          <c:order val="0"/>
          <c:tx>
            <c:strRef>
              <c:f>AI!$M$1</c:f>
              <c:strCache>
                <c:ptCount val="1"/>
                <c:pt idx="0">
                  <c:v>Log D (without outliers)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(AI!$J$2:$J$25,AI!$J$26:$J$32,AI!$J$33:$J$62)</c:f>
              <c:numCache>
                <c:formatCode>General</c:formatCode>
                <c:ptCount val="61"/>
                <c:pt idx="0">
                  <c:v>61.1</c:v>
                </c:pt>
                <c:pt idx="1">
                  <c:v>62.2</c:v>
                </c:pt>
                <c:pt idx="2">
                  <c:v>62.2</c:v>
                </c:pt>
                <c:pt idx="3">
                  <c:v>63.3</c:v>
                </c:pt>
                <c:pt idx="4">
                  <c:v>60</c:v>
                </c:pt>
                <c:pt idx="5">
                  <c:v>61.1</c:v>
                </c:pt>
                <c:pt idx="6">
                  <c:v>62.2</c:v>
                </c:pt>
                <c:pt idx="7">
                  <c:v>63.3</c:v>
                </c:pt>
                <c:pt idx="8">
                  <c:v>56.7</c:v>
                </c:pt>
                <c:pt idx="9">
                  <c:v>57.7</c:v>
                </c:pt>
                <c:pt idx="10">
                  <c:v>59</c:v>
                </c:pt>
                <c:pt idx="11">
                  <c:v>60</c:v>
                </c:pt>
                <c:pt idx="12">
                  <c:v>55</c:v>
                </c:pt>
                <c:pt idx="13">
                  <c:v>56</c:v>
                </c:pt>
                <c:pt idx="14">
                  <c:v>56.7</c:v>
                </c:pt>
                <c:pt idx="15">
                  <c:v>57</c:v>
                </c:pt>
                <c:pt idx="16">
                  <c:v>58</c:v>
                </c:pt>
                <c:pt idx="17">
                  <c:v>59</c:v>
                </c:pt>
                <c:pt idx="18">
                  <c:v>55</c:v>
                </c:pt>
                <c:pt idx="19">
                  <c:v>56.7</c:v>
                </c:pt>
                <c:pt idx="20">
                  <c:v>57</c:v>
                </c:pt>
                <c:pt idx="21">
                  <c:v>58</c:v>
                </c:pt>
                <c:pt idx="22">
                  <c:v>59</c:v>
                </c:pt>
                <c:pt idx="23">
                  <c:v>60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50</c:v>
                </c:pt>
                <c:pt idx="32">
                  <c:v>63</c:v>
                </c:pt>
                <c:pt idx="33">
                  <c:v>50</c:v>
                </c:pt>
                <c:pt idx="34">
                  <c:v>55</c:v>
                </c:pt>
                <c:pt idx="35">
                  <c:v>58</c:v>
                </c:pt>
                <c:pt idx="36">
                  <c:v>60</c:v>
                </c:pt>
                <c:pt idx="37">
                  <c:v>63</c:v>
                </c:pt>
                <c:pt idx="38">
                  <c:v>50</c:v>
                </c:pt>
                <c:pt idx="39">
                  <c:v>55</c:v>
                </c:pt>
                <c:pt idx="40">
                  <c:v>58</c:v>
                </c:pt>
                <c:pt idx="41">
                  <c:v>60</c:v>
                </c:pt>
                <c:pt idx="42">
                  <c:v>63</c:v>
                </c:pt>
                <c:pt idx="43">
                  <c:v>57</c:v>
                </c:pt>
                <c:pt idx="44">
                  <c:v>58</c:v>
                </c:pt>
                <c:pt idx="45">
                  <c:v>59</c:v>
                </c:pt>
                <c:pt idx="46">
                  <c:v>60</c:v>
                </c:pt>
                <c:pt idx="47">
                  <c:v>61</c:v>
                </c:pt>
                <c:pt idx="48">
                  <c:v>55</c:v>
                </c:pt>
                <c:pt idx="49">
                  <c:v>57</c:v>
                </c:pt>
                <c:pt idx="50">
                  <c:v>59</c:v>
                </c:pt>
                <c:pt idx="51">
                  <c:v>55</c:v>
                </c:pt>
                <c:pt idx="52">
                  <c:v>57</c:v>
                </c:pt>
                <c:pt idx="53">
                  <c:v>55</c:v>
                </c:pt>
                <c:pt idx="54">
                  <c:v>57</c:v>
                </c:pt>
                <c:pt idx="55">
                  <c:v>55</c:v>
                </c:pt>
                <c:pt idx="56">
                  <c:v>57</c:v>
                </c:pt>
                <c:pt idx="57">
                  <c:v>59</c:v>
                </c:pt>
                <c:pt idx="58">
                  <c:v>55</c:v>
                </c:pt>
                <c:pt idx="59">
                  <c:v>57</c:v>
                </c:pt>
                <c:pt idx="60">
                  <c:v>55</c:v>
                </c:pt>
              </c:numCache>
            </c:numRef>
          </c:xVal>
          <c:yVal>
            <c:numRef>
              <c:f>(AI!$M$2:$M$25,AI!$M$26:$M$32,AI!$M$33:$M$62)</c:f>
              <c:numCache>
                <c:formatCode>General</c:formatCode>
                <c:ptCount val="61"/>
                <c:pt idx="0">
                  <c:v>-0.63827216398240705</c:v>
                </c:pt>
                <c:pt idx="1">
                  <c:v>-0.85387196432176193</c:v>
                </c:pt>
                <c:pt idx="2">
                  <c:v>-1.3010299956639813</c:v>
                </c:pt>
                <c:pt idx="3">
                  <c:v>-1.6989700043360187</c:v>
                </c:pt>
                <c:pt idx="4">
                  <c:v>-1.2218487496163564</c:v>
                </c:pt>
                <c:pt idx="5">
                  <c:v>-1.5228787452803376</c:v>
                </c:pt>
                <c:pt idx="6">
                  <c:v>-1.2218487496163564</c:v>
                </c:pt>
                <c:pt idx="7">
                  <c:v>-1.3979400086720375</c:v>
                </c:pt>
                <c:pt idx="8">
                  <c:v>0.74818802700620035</c:v>
                </c:pt>
                <c:pt idx="9">
                  <c:v>0.36172783601759284</c:v>
                </c:pt>
                <c:pt idx="10">
                  <c:v>-0.12493873660829995</c:v>
                </c:pt>
                <c:pt idx="11">
                  <c:v>-0.25181197299379954</c:v>
                </c:pt>
                <c:pt idx="12">
                  <c:v>1.2695129442179163</c:v>
                </c:pt>
                <c:pt idx="13">
                  <c:v>0.92941892571429274</c:v>
                </c:pt>
                <c:pt idx="14">
                  <c:v>0.55630250076728727</c:v>
                </c:pt>
                <c:pt idx="15">
                  <c:v>0.3979400086720376</c:v>
                </c:pt>
                <c:pt idx="16">
                  <c:v>-0.3979400086720376</c:v>
                </c:pt>
                <c:pt idx="17">
                  <c:v>-0.3979400086720376</c:v>
                </c:pt>
                <c:pt idx="18">
                  <c:v>0.46239799789895608</c:v>
                </c:pt>
                <c:pt idx="19">
                  <c:v>0.14612803567823801</c:v>
                </c:pt>
                <c:pt idx="20">
                  <c:v>-9.6910013008056392E-2</c:v>
                </c:pt>
                <c:pt idx="21">
                  <c:v>-0.15490195998574319</c:v>
                </c:pt>
                <c:pt idx="22">
                  <c:v>-0.15490195998574319</c:v>
                </c:pt>
                <c:pt idx="23">
                  <c:v>-0.3010299956639812</c:v>
                </c:pt>
                <c:pt idx="24">
                  <c:v>1.1079053973095196</c:v>
                </c:pt>
                <c:pt idx="25">
                  <c:v>1.0315170514460648</c:v>
                </c:pt>
                <c:pt idx="26">
                  <c:v>1.1426675035687315</c:v>
                </c:pt>
                <c:pt idx="27">
                  <c:v>1.1249387366082999</c:v>
                </c:pt>
                <c:pt idx="28">
                  <c:v>0.92081875395237522</c:v>
                </c:pt>
                <c:pt idx="29">
                  <c:v>0.9393021596463883</c:v>
                </c:pt>
                <c:pt idx="30">
                  <c:v>0.90308998699194354</c:v>
                </c:pt>
                <c:pt idx="31">
                  <c:v>1</c:v>
                </c:pt>
                <c:pt idx="32">
                  <c:v>-0.42596873227228116</c:v>
                </c:pt>
                <c:pt idx="33">
                  <c:v>0.89733765810285226</c:v>
                </c:pt>
                <c:pt idx="34">
                  <c:v>0.53760200210104392</c:v>
                </c:pt>
                <c:pt idx="35">
                  <c:v>-0.16136800223497486</c:v>
                </c:pt>
                <c:pt idx="36">
                  <c:v>-0.29003461136251796</c:v>
                </c:pt>
                <c:pt idx="37">
                  <c:v>-0.42596873227228116</c:v>
                </c:pt>
                <c:pt idx="38">
                  <c:v>0.97197127639975645</c:v>
                </c:pt>
                <c:pt idx="39">
                  <c:v>0.52287874528033762</c:v>
                </c:pt>
                <c:pt idx="40">
                  <c:v>6.2147906748844434E-2</c:v>
                </c:pt>
                <c:pt idx="41">
                  <c:v>-0.16633142176652502</c:v>
                </c:pt>
                <c:pt idx="42">
                  <c:v>-0.5141048209728325</c:v>
                </c:pt>
                <c:pt idx="43">
                  <c:v>0.64933485871214192</c:v>
                </c:pt>
                <c:pt idx="44">
                  <c:v>0.37260518947666543</c:v>
                </c:pt>
                <c:pt idx="45">
                  <c:v>0.13247315450555761</c:v>
                </c:pt>
                <c:pt idx="46">
                  <c:v>2.3938007498089046E-2</c:v>
                </c:pt>
                <c:pt idx="47">
                  <c:v>-0.40523924741353701</c:v>
                </c:pt>
                <c:pt idx="48">
                  <c:v>0.82510141159800321</c:v>
                </c:pt>
                <c:pt idx="49">
                  <c:v>0.35186069928826064</c:v>
                </c:pt>
                <c:pt idx="50">
                  <c:v>-0.4396947567790388</c:v>
                </c:pt>
                <c:pt idx="51">
                  <c:v>0.81954393554186866</c:v>
                </c:pt>
                <c:pt idx="52">
                  <c:v>-0.44977164694490585</c:v>
                </c:pt>
                <c:pt idx="53">
                  <c:v>-0.16749108729376372</c:v>
                </c:pt>
                <c:pt idx="54">
                  <c:v>-0.43572856956143741</c:v>
                </c:pt>
                <c:pt idx="55">
                  <c:v>1.0305997219659511</c:v>
                </c:pt>
                <c:pt idx="56">
                  <c:v>0.65079303965193069</c:v>
                </c:pt>
                <c:pt idx="57">
                  <c:v>-0.42984638733548292</c:v>
                </c:pt>
                <c:pt idx="58">
                  <c:v>0.63127461828779974</c:v>
                </c:pt>
                <c:pt idx="59">
                  <c:v>-0.41831576804375564</c:v>
                </c:pt>
                <c:pt idx="60">
                  <c:v>-0.47065521247043074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84-40D5-82FB-D633DD407B98}"/>
            </c:ext>
          </c:extLst>
        </c:ser>
        <c:ser>
          <c:idx val="1"/>
          <c:order val="1"/>
          <c:tx>
            <c:strRef>
              <c:f>AI!$R$63</c:f>
              <c:strCache>
                <c:ptCount val="1"/>
                <c:pt idx="0">
                  <c:v>Thermoresistant fraction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AI!$J$63:$J$69</c:f>
              <c:numCache>
                <c:formatCode>General</c:formatCode>
                <c:ptCount val="7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</c:numCache>
            </c:numRef>
          </c:xVal>
          <c:yVal>
            <c:numRef>
              <c:f>AI!$M$63:$M$69</c:f>
              <c:numCache>
                <c:formatCode>General</c:formatCode>
                <c:ptCount val="7"/>
                <c:pt idx="0">
                  <c:v>2.3010299956639813</c:v>
                </c:pt>
                <c:pt idx="1">
                  <c:v>1.5686362358410126</c:v>
                </c:pt>
                <c:pt idx="2">
                  <c:v>1.5376020021010439</c:v>
                </c:pt>
                <c:pt idx="3">
                  <c:v>1.494850021680094</c:v>
                </c:pt>
                <c:pt idx="4">
                  <c:v>2</c:v>
                </c:pt>
                <c:pt idx="5">
                  <c:v>1.7958800173440752</c:v>
                </c:pt>
                <c:pt idx="6">
                  <c:v>2.5228787452803374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21-4197-A777-7C83CEAC6C04}"/>
            </c:ext>
          </c:extLst>
        </c:ser>
        <c:ser>
          <c:idx val="2"/>
          <c:order val="2"/>
          <c:tx>
            <c:strRef>
              <c:f>AI!$E$70</c:f>
              <c:strCache>
                <c:ptCount val="1"/>
                <c:pt idx="0">
                  <c:v>Dried egg white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AI!$J$70:$J$79</c:f>
              <c:numCache>
                <c:formatCode>General</c:formatCode>
                <c:ptCount val="10"/>
                <c:pt idx="0">
                  <c:v>54.4</c:v>
                </c:pt>
                <c:pt idx="1">
                  <c:v>60</c:v>
                </c:pt>
                <c:pt idx="2">
                  <c:v>65.5</c:v>
                </c:pt>
                <c:pt idx="3">
                  <c:v>71.099999999999994</c:v>
                </c:pt>
                <c:pt idx="4">
                  <c:v>55</c:v>
                </c:pt>
                <c:pt idx="5">
                  <c:v>57</c:v>
                </c:pt>
                <c:pt idx="6">
                  <c:v>59</c:v>
                </c:pt>
                <c:pt idx="7">
                  <c:v>61</c:v>
                </c:pt>
                <c:pt idx="8">
                  <c:v>63</c:v>
                </c:pt>
                <c:pt idx="9">
                  <c:v>55</c:v>
                </c:pt>
              </c:numCache>
            </c:numRef>
          </c:xVal>
          <c:yVal>
            <c:numRef>
              <c:f>AI!$M$70:$M$79</c:f>
              <c:numCache>
                <c:formatCode>General</c:formatCode>
                <c:ptCount val="10"/>
                <c:pt idx="0">
                  <c:v>2.6027109449575576</c:v>
                </c:pt>
                <c:pt idx="1">
                  <c:v>2.2060158767633444</c:v>
                </c:pt>
                <c:pt idx="2">
                  <c:v>2.0390173219974121</c:v>
                </c:pt>
                <c:pt idx="3">
                  <c:v>1.6404814369704219</c:v>
                </c:pt>
                <c:pt idx="4">
                  <c:v>3.5007851729174559</c:v>
                </c:pt>
                <c:pt idx="5">
                  <c:v>3.3044905277734875</c:v>
                </c:pt>
                <c:pt idx="6">
                  <c:v>3.2723058444020863</c:v>
                </c:pt>
                <c:pt idx="7">
                  <c:v>3.1583624920952498</c:v>
                </c:pt>
                <c:pt idx="8">
                  <c:v>2.459392487759231</c:v>
                </c:pt>
                <c:pt idx="9">
                  <c:v>2.8573324964312685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21-4197-A777-7C83CEAC6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270968"/>
        <c:axId val="222270640"/>
      </c:scatterChart>
      <c:valAx>
        <c:axId val="222270968"/>
        <c:scaling>
          <c:orientation val="minMax"/>
          <c:max val="100"/>
          <c:min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 °C</a:t>
                </a:r>
              </a:p>
            </c:rich>
          </c:tx>
          <c:layout>
            <c:manualLayout>
              <c:xMode val="edge"/>
              <c:yMode val="edge"/>
              <c:x val="0.44784104618501636"/>
              <c:y val="0.604417381160688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22270640"/>
        <c:crosses val="autoZero"/>
        <c:crossBetween val="midCat"/>
        <c:majorUnit val="5"/>
      </c:valAx>
      <c:valAx>
        <c:axId val="222270640"/>
        <c:scaling>
          <c:orientation val="minMax"/>
          <c:min val="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 D (min)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22270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65744508603091278"/>
          <c:w val="0.90835382419302846"/>
          <c:h val="0.34255491396908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Foot and Mouth Disease virus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FMD!$M$1</c:f>
              <c:strCache>
                <c:ptCount val="1"/>
                <c:pt idx="0">
                  <c:v>Log 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FMD!$J$2:$J$51</c:f>
              <c:numCache>
                <c:formatCode>General</c:formatCode>
                <c:ptCount val="50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68</c:v>
                </c:pt>
                <c:pt idx="5">
                  <c:v>40</c:v>
                </c:pt>
                <c:pt idx="6">
                  <c:v>50</c:v>
                </c:pt>
                <c:pt idx="7">
                  <c:v>60</c:v>
                </c:pt>
                <c:pt idx="8">
                  <c:v>70</c:v>
                </c:pt>
                <c:pt idx="9">
                  <c:v>79</c:v>
                </c:pt>
                <c:pt idx="10">
                  <c:v>79</c:v>
                </c:pt>
                <c:pt idx="11">
                  <c:v>79</c:v>
                </c:pt>
                <c:pt idx="12">
                  <c:v>63</c:v>
                </c:pt>
                <c:pt idx="13">
                  <c:v>72</c:v>
                </c:pt>
                <c:pt idx="14">
                  <c:v>55</c:v>
                </c:pt>
                <c:pt idx="15">
                  <c:v>60</c:v>
                </c:pt>
                <c:pt idx="16">
                  <c:v>65</c:v>
                </c:pt>
                <c:pt idx="17">
                  <c:v>67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67</c:v>
                </c:pt>
                <c:pt idx="22">
                  <c:v>70</c:v>
                </c:pt>
                <c:pt idx="23">
                  <c:v>55</c:v>
                </c:pt>
                <c:pt idx="24">
                  <c:v>49</c:v>
                </c:pt>
                <c:pt idx="25">
                  <c:v>55</c:v>
                </c:pt>
                <c:pt idx="26">
                  <c:v>61</c:v>
                </c:pt>
                <c:pt idx="27">
                  <c:v>49</c:v>
                </c:pt>
                <c:pt idx="28">
                  <c:v>61</c:v>
                </c:pt>
                <c:pt idx="29">
                  <c:v>72</c:v>
                </c:pt>
                <c:pt idx="30">
                  <c:v>72</c:v>
                </c:pt>
                <c:pt idx="31">
                  <c:v>63</c:v>
                </c:pt>
                <c:pt idx="32">
                  <c:v>85</c:v>
                </c:pt>
                <c:pt idx="33">
                  <c:v>50</c:v>
                </c:pt>
                <c:pt idx="34">
                  <c:v>50</c:v>
                </c:pt>
                <c:pt idx="35">
                  <c:v>60</c:v>
                </c:pt>
                <c:pt idx="36">
                  <c:v>60</c:v>
                </c:pt>
                <c:pt idx="37">
                  <c:v>70</c:v>
                </c:pt>
                <c:pt idx="38">
                  <c:v>70</c:v>
                </c:pt>
                <c:pt idx="39">
                  <c:v>80</c:v>
                </c:pt>
                <c:pt idx="40">
                  <c:v>80</c:v>
                </c:pt>
                <c:pt idx="41">
                  <c:v>90</c:v>
                </c:pt>
                <c:pt idx="42">
                  <c:v>90</c:v>
                </c:pt>
                <c:pt idx="43">
                  <c:v>100</c:v>
                </c:pt>
                <c:pt idx="44">
                  <c:v>100</c:v>
                </c:pt>
                <c:pt idx="45">
                  <c:v>61</c:v>
                </c:pt>
                <c:pt idx="46">
                  <c:v>55</c:v>
                </c:pt>
                <c:pt idx="47">
                  <c:v>49</c:v>
                </c:pt>
                <c:pt idx="48">
                  <c:v>70</c:v>
                </c:pt>
                <c:pt idx="49">
                  <c:v>56</c:v>
                </c:pt>
              </c:numCache>
            </c:numRef>
          </c:xVal>
          <c:yVal>
            <c:numRef>
              <c:f>FMD!$M$2:$M$51</c:f>
              <c:numCache>
                <c:formatCode>General</c:formatCode>
                <c:ptCount val="50"/>
                <c:pt idx="0">
                  <c:v>-1.4940349792936526E-2</c:v>
                </c:pt>
                <c:pt idx="1">
                  <c:v>-0.23227990455565017</c:v>
                </c:pt>
                <c:pt idx="2">
                  <c:v>-0.31371102742307011</c:v>
                </c:pt>
                <c:pt idx="3">
                  <c:v>-0.15773805707480143</c:v>
                </c:pt>
                <c:pt idx="4">
                  <c:v>-0.24303804868629447</c:v>
                </c:pt>
                <c:pt idx="5">
                  <c:v>0.45052348622586769</c:v>
                </c:pt>
                <c:pt idx="6">
                  <c:v>9.2153180327899056E-2</c:v>
                </c:pt>
                <c:pt idx="7">
                  <c:v>8.9893794466800098E-2</c:v>
                </c:pt>
                <c:pt idx="8">
                  <c:v>0.18150550793754103</c:v>
                </c:pt>
                <c:pt idx="9">
                  <c:v>-1.243534101832062</c:v>
                </c:pt>
                <c:pt idx="10">
                  <c:v>-1.7211508437496841</c:v>
                </c:pt>
                <c:pt idx="11">
                  <c:v>-1.658393026279124</c:v>
                </c:pt>
                <c:pt idx="12">
                  <c:v>1.1760912590556813</c:v>
                </c:pt>
                <c:pt idx="13">
                  <c:v>-0.90308998699194354</c:v>
                </c:pt>
                <c:pt idx="14">
                  <c:v>0.50863830616572736</c:v>
                </c:pt>
                <c:pt idx="15">
                  <c:v>0.36653154442041352</c:v>
                </c:pt>
                <c:pt idx="16">
                  <c:v>-2.5305865264770234E-2</c:v>
                </c:pt>
                <c:pt idx="17">
                  <c:v>-0.34943380968321147</c:v>
                </c:pt>
                <c:pt idx="18">
                  <c:v>0.3010299956639812</c:v>
                </c:pt>
                <c:pt idx="19">
                  <c:v>0.43179827593300507</c:v>
                </c:pt>
                <c:pt idx="20">
                  <c:v>5.5517327849831329E-2</c:v>
                </c:pt>
                <c:pt idx="21">
                  <c:v>-0.27507836761060872</c:v>
                </c:pt>
                <c:pt idx="22">
                  <c:v>-0.54406804435027567</c:v>
                </c:pt>
                <c:pt idx="23">
                  <c:v>-0.14612803567823801</c:v>
                </c:pt>
                <c:pt idx="24">
                  <c:v>1.7781512503836436</c:v>
                </c:pt>
                <c:pt idx="25">
                  <c:v>0.3010299956639812</c:v>
                </c:pt>
                <c:pt idx="26">
                  <c:v>-0.3010299956639812</c:v>
                </c:pt>
                <c:pt idx="27">
                  <c:v>1.7781512503836436</c:v>
                </c:pt>
                <c:pt idx="28">
                  <c:v>-1.3010299956639813</c:v>
                </c:pt>
                <c:pt idx="29">
                  <c:v>-1.2466723333413885</c:v>
                </c:pt>
                <c:pt idx="30">
                  <c:v>-0.7367585652254186</c:v>
                </c:pt>
                <c:pt idx="31">
                  <c:v>1.1760912590556813</c:v>
                </c:pt>
                <c:pt idx="32">
                  <c:v>-1.0334237554869496</c:v>
                </c:pt>
                <c:pt idx="33">
                  <c:v>1.0863598306747482</c:v>
                </c:pt>
                <c:pt idx="34">
                  <c:v>1.3273589343863303</c:v>
                </c:pt>
                <c:pt idx="35">
                  <c:v>-0.56410257097170213</c:v>
                </c:pt>
                <c:pt idx="36">
                  <c:v>-0.15490195998574319</c:v>
                </c:pt>
                <c:pt idx="37">
                  <c:v>-0.99567862621735748</c:v>
                </c:pt>
                <c:pt idx="38">
                  <c:v>-0.7419217062973491</c:v>
                </c:pt>
                <c:pt idx="39">
                  <c:v>-1.3248329103366059</c:v>
                </c:pt>
                <c:pt idx="40">
                  <c:v>-1.0007244279943321</c:v>
                </c:pt>
                <c:pt idx="41">
                  <c:v>-1.5606673061697374</c:v>
                </c:pt>
                <c:pt idx="42">
                  <c:v>-1.2757241303992108</c:v>
                </c:pt>
                <c:pt idx="43">
                  <c:v>-1.4993976494308148</c:v>
                </c:pt>
                <c:pt idx="44">
                  <c:v>-1.3098039199714864</c:v>
                </c:pt>
                <c:pt idx="45">
                  <c:v>-0.3010299956639812</c:v>
                </c:pt>
                <c:pt idx="46">
                  <c:v>0.3010299956639812</c:v>
                </c:pt>
                <c:pt idx="47">
                  <c:v>1.7781512503836436</c:v>
                </c:pt>
                <c:pt idx="48">
                  <c:v>-0.69897000433601886</c:v>
                </c:pt>
                <c:pt idx="49">
                  <c:v>0.3010299956639812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8D-4A9B-B971-ACEF8620E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998688"/>
        <c:axId val="496999016"/>
      </c:scatterChart>
      <c:scatterChart>
        <c:scatterStyle val="smoothMarker"/>
        <c:varyColors val="0"/>
        <c:ser>
          <c:idx val="1"/>
          <c:order val="1"/>
          <c:tx>
            <c:strRef>
              <c:f>FMD!$U$11</c:f>
              <c:strCache>
                <c:ptCount val="1"/>
                <c:pt idx="0">
                  <c:v>Log D model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FMD!$T$12:$T$27</c:f>
              <c:numCache>
                <c:formatCode>General</c:formatCode>
                <c:ptCount val="16"/>
                <c:pt idx="0">
                  <c:v>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65</c:v>
                </c:pt>
                <c:pt idx="5">
                  <c:v>70</c:v>
                </c:pt>
                <c:pt idx="6">
                  <c:v>75</c:v>
                </c:pt>
                <c:pt idx="7">
                  <c:v>80</c:v>
                </c:pt>
                <c:pt idx="8">
                  <c:v>85</c:v>
                </c:pt>
                <c:pt idx="9">
                  <c:v>90</c:v>
                </c:pt>
                <c:pt idx="10">
                  <c:v>95</c:v>
                </c:pt>
                <c:pt idx="11">
                  <c:v>100</c:v>
                </c:pt>
                <c:pt idx="12">
                  <c:v>105</c:v>
                </c:pt>
                <c:pt idx="13">
                  <c:v>110</c:v>
                </c:pt>
                <c:pt idx="14">
                  <c:v>115</c:v>
                </c:pt>
                <c:pt idx="15">
                  <c:v>120</c:v>
                </c:pt>
              </c:numCache>
            </c:numRef>
          </c:xVal>
          <c:yVal>
            <c:numRef>
              <c:f>FMD!$U$12:$U$27</c:f>
              <c:numCache>
                <c:formatCode>0.00</c:formatCode>
                <c:ptCount val="16"/>
                <c:pt idx="0">
                  <c:v>0.81958261954102585</c:v>
                </c:pt>
                <c:pt idx="1">
                  <c:v>0.56450489432318252</c:v>
                </c:pt>
                <c:pt idx="2">
                  <c:v>0.30942716910533952</c:v>
                </c:pt>
                <c:pt idx="3">
                  <c:v>5.4349443887496296E-2</c:v>
                </c:pt>
                <c:pt idx="4">
                  <c:v>-0.20072828133034681</c:v>
                </c:pt>
                <c:pt idx="5">
                  <c:v>-0.45580600654818992</c:v>
                </c:pt>
                <c:pt idx="6">
                  <c:v>-0.71088373176603303</c:v>
                </c:pt>
                <c:pt idx="7">
                  <c:v>-0.96596145698387614</c:v>
                </c:pt>
                <c:pt idx="8">
                  <c:v>-1.2210391822017193</c:v>
                </c:pt>
                <c:pt idx="9">
                  <c:v>-1.4761169074195624</c:v>
                </c:pt>
                <c:pt idx="10">
                  <c:v>-1.7311946326374057</c:v>
                </c:pt>
                <c:pt idx="11">
                  <c:v>-1.9862723578552488</c:v>
                </c:pt>
                <c:pt idx="12">
                  <c:v>-2.2413500830730921</c:v>
                </c:pt>
                <c:pt idx="13">
                  <c:v>-2.4964278082909348</c:v>
                </c:pt>
                <c:pt idx="14">
                  <c:v>-2.7515055335087784</c:v>
                </c:pt>
                <c:pt idx="15">
                  <c:v>-3.0065832587266215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F5-4894-82A6-7BAD80E06D33}"/>
            </c:ext>
          </c:extLst>
        </c:ser>
        <c:ser>
          <c:idx val="2"/>
          <c:order val="2"/>
          <c:tx>
            <c:strRef>
              <c:f>FMD!$V$11</c:f>
              <c:strCache>
                <c:ptCount val="1"/>
                <c:pt idx="0">
                  <c:v>Log D model 95% upper limit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FMD!$T$12:$T$27</c:f>
              <c:numCache>
                <c:formatCode>General</c:formatCode>
                <c:ptCount val="16"/>
                <c:pt idx="0">
                  <c:v>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65</c:v>
                </c:pt>
                <c:pt idx="5">
                  <c:v>70</c:v>
                </c:pt>
                <c:pt idx="6">
                  <c:v>75</c:v>
                </c:pt>
                <c:pt idx="7">
                  <c:v>80</c:v>
                </c:pt>
                <c:pt idx="8">
                  <c:v>85</c:v>
                </c:pt>
                <c:pt idx="9">
                  <c:v>90</c:v>
                </c:pt>
                <c:pt idx="10">
                  <c:v>95</c:v>
                </c:pt>
                <c:pt idx="11">
                  <c:v>100</c:v>
                </c:pt>
                <c:pt idx="12">
                  <c:v>105</c:v>
                </c:pt>
                <c:pt idx="13">
                  <c:v>110</c:v>
                </c:pt>
                <c:pt idx="14">
                  <c:v>115</c:v>
                </c:pt>
                <c:pt idx="15">
                  <c:v>120</c:v>
                </c:pt>
              </c:numCache>
            </c:numRef>
          </c:xVal>
          <c:yVal>
            <c:numRef>
              <c:f>FMD!$V$12:$V$27</c:f>
              <c:numCache>
                <c:formatCode>0.00</c:formatCode>
                <c:ptCount val="16"/>
                <c:pt idx="0">
                  <c:v>2.0309643976562404</c:v>
                </c:pt>
                <c:pt idx="1">
                  <c:v>1.7758866724383973</c:v>
                </c:pt>
                <c:pt idx="2">
                  <c:v>1.5208089472205542</c:v>
                </c:pt>
                <c:pt idx="3">
                  <c:v>1.265731222002711</c:v>
                </c:pt>
                <c:pt idx="4">
                  <c:v>1.0106534967848679</c:v>
                </c:pt>
                <c:pt idx="5">
                  <c:v>0.75557577156702482</c:v>
                </c:pt>
                <c:pt idx="6">
                  <c:v>0.50049804634918171</c:v>
                </c:pt>
                <c:pt idx="7">
                  <c:v>0.2454203211313386</c:v>
                </c:pt>
                <c:pt idx="8">
                  <c:v>-9.6574040865045063E-3</c:v>
                </c:pt>
                <c:pt idx="9">
                  <c:v>-0.26473512930434762</c:v>
                </c:pt>
                <c:pt idx="10">
                  <c:v>-0.51981285452219095</c:v>
                </c:pt>
                <c:pt idx="11">
                  <c:v>-0.77489057974003406</c:v>
                </c:pt>
                <c:pt idx="12">
                  <c:v>-1.0299683049578774</c:v>
                </c:pt>
                <c:pt idx="13">
                  <c:v>-1.2850460301757201</c:v>
                </c:pt>
                <c:pt idx="14">
                  <c:v>-1.5401237553935636</c:v>
                </c:pt>
                <c:pt idx="15">
                  <c:v>-1.7952014806114067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0F5-4894-82A6-7BAD80E06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998688"/>
        <c:axId val="496999016"/>
      </c:scatterChart>
      <c:valAx>
        <c:axId val="496998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6999016"/>
        <c:crosses val="autoZero"/>
        <c:crossBetween val="midCat"/>
      </c:valAx>
      <c:valAx>
        <c:axId val="49699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 D (min)</a:t>
                </a:r>
              </a:p>
            </c:rich>
          </c:tx>
          <c:layout>
            <c:manualLayout>
              <c:xMode val="edge"/>
              <c:yMode val="edge"/>
              <c:x val="2.4806203973016319E-2"/>
              <c:y val="0.387282472043935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6998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173397904989113"/>
          <c:y val="0.90709573068072369"/>
          <c:w val="0.88826609794509548"/>
          <c:h val="7.3282098730464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Newcastle Disease virus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86556116792437"/>
          <c:y val="0.10916850625459897"/>
          <c:w val="0.8533574112558201"/>
          <c:h val="0.85012254262919107"/>
        </c:manualLayout>
      </c:layout>
      <c:scatterChart>
        <c:scatterStyle val="lineMarker"/>
        <c:varyColors val="0"/>
        <c:ser>
          <c:idx val="0"/>
          <c:order val="0"/>
          <c:tx>
            <c:strRef>
              <c:f>ND!$M$1</c:f>
              <c:strCache>
                <c:ptCount val="1"/>
                <c:pt idx="0">
                  <c:v>Log D (min)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ND!$J$2:$J$53</c:f>
              <c:numCache>
                <c:formatCode>General</c:formatCode>
                <c:ptCount val="52"/>
                <c:pt idx="0">
                  <c:v>61.1</c:v>
                </c:pt>
                <c:pt idx="1">
                  <c:v>62.2</c:v>
                </c:pt>
                <c:pt idx="2">
                  <c:v>62.2</c:v>
                </c:pt>
                <c:pt idx="3">
                  <c:v>63.3</c:v>
                </c:pt>
                <c:pt idx="4">
                  <c:v>60</c:v>
                </c:pt>
                <c:pt idx="5">
                  <c:v>61.1</c:v>
                </c:pt>
                <c:pt idx="6">
                  <c:v>62.2</c:v>
                </c:pt>
                <c:pt idx="7">
                  <c:v>63.3</c:v>
                </c:pt>
                <c:pt idx="8">
                  <c:v>55</c:v>
                </c:pt>
                <c:pt idx="9">
                  <c:v>56</c:v>
                </c:pt>
                <c:pt idx="10">
                  <c:v>56.7</c:v>
                </c:pt>
                <c:pt idx="11">
                  <c:v>57</c:v>
                </c:pt>
                <c:pt idx="12">
                  <c:v>58</c:v>
                </c:pt>
                <c:pt idx="13">
                  <c:v>59</c:v>
                </c:pt>
                <c:pt idx="14">
                  <c:v>55</c:v>
                </c:pt>
                <c:pt idx="15">
                  <c:v>57</c:v>
                </c:pt>
                <c:pt idx="16">
                  <c:v>58</c:v>
                </c:pt>
                <c:pt idx="17">
                  <c:v>59</c:v>
                </c:pt>
                <c:pt idx="18">
                  <c:v>61</c:v>
                </c:pt>
                <c:pt idx="19">
                  <c:v>63</c:v>
                </c:pt>
                <c:pt idx="20">
                  <c:v>57</c:v>
                </c:pt>
                <c:pt idx="21">
                  <c:v>58</c:v>
                </c:pt>
                <c:pt idx="22">
                  <c:v>59</c:v>
                </c:pt>
                <c:pt idx="23">
                  <c:v>60</c:v>
                </c:pt>
                <c:pt idx="24">
                  <c:v>61</c:v>
                </c:pt>
                <c:pt idx="25">
                  <c:v>57</c:v>
                </c:pt>
                <c:pt idx="26">
                  <c:v>59</c:v>
                </c:pt>
                <c:pt idx="27">
                  <c:v>61</c:v>
                </c:pt>
                <c:pt idx="28">
                  <c:v>57</c:v>
                </c:pt>
                <c:pt idx="29">
                  <c:v>58</c:v>
                </c:pt>
                <c:pt idx="30">
                  <c:v>59</c:v>
                </c:pt>
                <c:pt idx="31">
                  <c:v>60</c:v>
                </c:pt>
                <c:pt idx="32">
                  <c:v>61</c:v>
                </c:pt>
                <c:pt idx="33">
                  <c:v>55</c:v>
                </c:pt>
                <c:pt idx="34">
                  <c:v>57</c:v>
                </c:pt>
                <c:pt idx="35">
                  <c:v>59</c:v>
                </c:pt>
                <c:pt idx="36">
                  <c:v>55</c:v>
                </c:pt>
                <c:pt idx="37">
                  <c:v>57</c:v>
                </c:pt>
                <c:pt idx="38">
                  <c:v>59</c:v>
                </c:pt>
                <c:pt idx="39">
                  <c:v>55</c:v>
                </c:pt>
                <c:pt idx="40">
                  <c:v>57</c:v>
                </c:pt>
                <c:pt idx="41">
                  <c:v>59</c:v>
                </c:pt>
                <c:pt idx="42">
                  <c:v>55</c:v>
                </c:pt>
                <c:pt idx="43">
                  <c:v>57</c:v>
                </c:pt>
                <c:pt idx="44">
                  <c:v>59</c:v>
                </c:pt>
                <c:pt idx="45">
                  <c:v>55</c:v>
                </c:pt>
                <c:pt idx="46">
                  <c:v>55</c:v>
                </c:pt>
                <c:pt idx="47">
                  <c:v>57</c:v>
                </c:pt>
                <c:pt idx="48">
                  <c:v>59</c:v>
                </c:pt>
                <c:pt idx="49">
                  <c:v>55</c:v>
                </c:pt>
                <c:pt idx="50">
                  <c:v>57</c:v>
                </c:pt>
                <c:pt idx="51">
                  <c:v>59</c:v>
                </c:pt>
              </c:numCache>
            </c:numRef>
          </c:xVal>
          <c:yVal>
            <c:numRef>
              <c:f>ND!$M$2:$M$53</c:f>
              <c:numCache>
                <c:formatCode>General</c:formatCode>
                <c:ptCount val="52"/>
                <c:pt idx="0">
                  <c:v>4.1392685158225077E-2</c:v>
                </c:pt>
                <c:pt idx="1">
                  <c:v>-0.27572413039921095</c:v>
                </c:pt>
                <c:pt idx="2">
                  <c:v>4.1392685158225077E-2</c:v>
                </c:pt>
                <c:pt idx="3">
                  <c:v>0</c:v>
                </c:pt>
                <c:pt idx="4">
                  <c:v>-6.5501548756432285E-2</c:v>
                </c:pt>
                <c:pt idx="5">
                  <c:v>-0.3010299956639812</c:v>
                </c:pt>
                <c:pt idx="6">
                  <c:v>0</c:v>
                </c:pt>
                <c:pt idx="7">
                  <c:v>-6.0480747381381476E-2</c:v>
                </c:pt>
                <c:pt idx="8">
                  <c:v>1.0934216851622351</c:v>
                </c:pt>
                <c:pt idx="9">
                  <c:v>0.96848294855393513</c:v>
                </c:pt>
                <c:pt idx="10">
                  <c:v>0.79239168949825389</c:v>
                </c:pt>
                <c:pt idx="11">
                  <c:v>0.69897000433601886</c:v>
                </c:pt>
                <c:pt idx="12">
                  <c:v>0.56820172406699498</c:v>
                </c:pt>
                <c:pt idx="13">
                  <c:v>0.23044892137827391</c:v>
                </c:pt>
                <c:pt idx="14">
                  <c:v>0.72427586960078905</c:v>
                </c:pt>
                <c:pt idx="15">
                  <c:v>0.34242268082220628</c:v>
                </c:pt>
                <c:pt idx="16">
                  <c:v>4.1392685158225077E-2</c:v>
                </c:pt>
                <c:pt idx="17">
                  <c:v>-0.25963731050575611</c:v>
                </c:pt>
                <c:pt idx="18">
                  <c:v>-0.72124639904717103</c:v>
                </c:pt>
                <c:pt idx="19">
                  <c:v>-0.769551078621726</c:v>
                </c:pt>
                <c:pt idx="20">
                  <c:v>0.56741850567274854</c:v>
                </c:pt>
                <c:pt idx="21">
                  <c:v>0.3685967632469962</c:v>
                </c:pt>
                <c:pt idx="22">
                  <c:v>0.17945603667645163</c:v>
                </c:pt>
                <c:pt idx="23">
                  <c:v>-5.551732784983137E-2</c:v>
                </c:pt>
                <c:pt idx="24">
                  <c:v>-0.19382002601611281</c:v>
                </c:pt>
                <c:pt idx="25">
                  <c:v>0.60959440922522001</c:v>
                </c:pt>
                <c:pt idx="26">
                  <c:v>0.16633142176652496</c:v>
                </c:pt>
                <c:pt idx="27">
                  <c:v>-0.30685953932470506</c:v>
                </c:pt>
                <c:pt idx="28">
                  <c:v>0.90127664622847525</c:v>
                </c:pt>
                <c:pt idx="29">
                  <c:v>0.74715275957459526</c:v>
                </c:pt>
                <c:pt idx="30">
                  <c:v>0.60888245089871951</c:v>
                </c:pt>
                <c:pt idx="31">
                  <c:v>0.22314968263677448</c:v>
                </c:pt>
                <c:pt idx="32">
                  <c:v>-0.19722627470802431</c:v>
                </c:pt>
                <c:pt idx="33">
                  <c:v>0.72794770954479682</c:v>
                </c:pt>
                <c:pt idx="34">
                  <c:v>0.57978359661681012</c:v>
                </c:pt>
                <c:pt idx="35">
                  <c:v>0.20547503674089088</c:v>
                </c:pt>
                <c:pt idx="36">
                  <c:v>0.67332815474121821</c:v>
                </c:pt>
                <c:pt idx="37">
                  <c:v>0.17464119266044847</c:v>
                </c:pt>
                <c:pt idx="38">
                  <c:v>-0.1446827948040571</c:v>
                </c:pt>
                <c:pt idx="39">
                  <c:v>0.5978779313445366</c:v>
                </c:pt>
                <c:pt idx="40">
                  <c:v>0.16780945319392496</c:v>
                </c:pt>
                <c:pt idx="41">
                  <c:v>-0.42790323204948089</c:v>
                </c:pt>
                <c:pt idx="42">
                  <c:v>0.63832282871657708</c:v>
                </c:pt>
                <c:pt idx="43">
                  <c:v>0.2446893604928842</c:v>
                </c:pt>
                <c:pt idx="44">
                  <c:v>-0.44169151653511418</c:v>
                </c:pt>
                <c:pt idx="45">
                  <c:v>-0.37675070960209955</c:v>
                </c:pt>
                <c:pt idx="46">
                  <c:v>0.77827187098764172</c:v>
                </c:pt>
                <c:pt idx="47">
                  <c:v>0.42786462637970091</c:v>
                </c:pt>
                <c:pt idx="48">
                  <c:v>-1.7728766960431554E-2</c:v>
                </c:pt>
                <c:pt idx="49">
                  <c:v>0.73426629821719636</c:v>
                </c:pt>
                <c:pt idx="50">
                  <c:v>0.37045140442244978</c:v>
                </c:pt>
                <c:pt idx="51">
                  <c:v>-0.17284620424253422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70-43F1-9B84-5E1F7FF77774}"/>
            </c:ext>
          </c:extLst>
        </c:ser>
        <c:ser>
          <c:idx val="1"/>
          <c:order val="1"/>
          <c:tx>
            <c:strRef>
              <c:f>ND!$E$58</c:f>
              <c:strCache>
                <c:ptCount val="1"/>
                <c:pt idx="0">
                  <c:v>Dried egg white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ND!$J$58:$J$61</c:f>
              <c:numCache>
                <c:formatCode>General</c:formatCode>
                <c:ptCount val="4"/>
                <c:pt idx="0">
                  <c:v>55</c:v>
                </c:pt>
                <c:pt idx="1">
                  <c:v>57</c:v>
                </c:pt>
                <c:pt idx="2">
                  <c:v>55</c:v>
                </c:pt>
                <c:pt idx="3">
                  <c:v>57</c:v>
                </c:pt>
              </c:numCache>
            </c:numRef>
          </c:xVal>
          <c:yVal>
            <c:numRef>
              <c:f>ND!$M$58:$M$61</c:f>
              <c:numCache>
                <c:formatCode>General</c:formatCode>
                <c:ptCount val="4"/>
                <c:pt idx="0">
                  <c:v>2.6354837468149119</c:v>
                </c:pt>
                <c:pt idx="1">
                  <c:v>2.6354837468149119</c:v>
                </c:pt>
                <c:pt idx="2">
                  <c:v>2.6354837468149119</c:v>
                </c:pt>
                <c:pt idx="3">
                  <c:v>2.459392487759231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86-49E7-ACA6-C6A0C8689746}"/>
            </c:ext>
          </c:extLst>
        </c:ser>
        <c:ser>
          <c:idx val="2"/>
          <c:order val="2"/>
          <c:tx>
            <c:strRef>
              <c:f>ND!$E$54</c:f>
              <c:strCache>
                <c:ptCount val="1"/>
                <c:pt idx="0">
                  <c:v>Chicken homogenate with 15% fat, resistant fraction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ND!$J$54:$J$57</c:f>
              <c:numCache>
                <c:formatCode>General</c:formatCode>
                <c:ptCount val="4"/>
                <c:pt idx="0">
                  <c:v>65</c:v>
                </c:pt>
                <c:pt idx="1">
                  <c:v>70</c:v>
                </c:pt>
                <c:pt idx="2">
                  <c:v>74</c:v>
                </c:pt>
                <c:pt idx="3">
                  <c:v>80</c:v>
                </c:pt>
              </c:numCache>
            </c:numRef>
          </c:xVal>
          <c:yVal>
            <c:numRef>
              <c:f>ND!$M$54:$M$57</c:f>
              <c:numCache>
                <c:formatCode>General</c:formatCode>
                <c:ptCount val="4"/>
                <c:pt idx="0">
                  <c:v>0.3010299956639812</c:v>
                </c:pt>
                <c:pt idx="1">
                  <c:v>0.13566260200007307</c:v>
                </c:pt>
                <c:pt idx="2">
                  <c:v>-0.17609125905568127</c:v>
                </c:pt>
                <c:pt idx="3">
                  <c:v>-0.31575325248468755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86-49E7-ACA6-C6A0C8689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759448"/>
        <c:axId val="302762072"/>
      </c:scatterChart>
      <c:scatterChart>
        <c:scatterStyle val="smoothMarker"/>
        <c:varyColors val="0"/>
        <c:ser>
          <c:idx val="5"/>
          <c:order val="3"/>
          <c:tx>
            <c:strRef>
              <c:f>ND!$AA$11</c:f>
              <c:strCache>
                <c:ptCount val="1"/>
                <c:pt idx="0">
                  <c:v>All data (model)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ND!$Z$12:$Z$27</c:f>
              <c:numCache>
                <c:formatCode>General</c:formatCode>
                <c:ptCount val="16"/>
                <c:pt idx="0">
                  <c:v>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65</c:v>
                </c:pt>
                <c:pt idx="5">
                  <c:v>70</c:v>
                </c:pt>
                <c:pt idx="6">
                  <c:v>75</c:v>
                </c:pt>
                <c:pt idx="7">
                  <c:v>80</c:v>
                </c:pt>
                <c:pt idx="8">
                  <c:v>85</c:v>
                </c:pt>
                <c:pt idx="9">
                  <c:v>90</c:v>
                </c:pt>
                <c:pt idx="10">
                  <c:v>95</c:v>
                </c:pt>
                <c:pt idx="11">
                  <c:v>100</c:v>
                </c:pt>
                <c:pt idx="12">
                  <c:v>105</c:v>
                </c:pt>
                <c:pt idx="13">
                  <c:v>110</c:v>
                </c:pt>
                <c:pt idx="14">
                  <c:v>115</c:v>
                </c:pt>
                <c:pt idx="15">
                  <c:v>120</c:v>
                </c:pt>
              </c:numCache>
            </c:numRef>
          </c:xVal>
          <c:yVal>
            <c:numRef>
              <c:f>ND!$AA$12:$AA$27</c:f>
              <c:numCache>
                <c:formatCode>0.00</c:formatCode>
                <c:ptCount val="16"/>
                <c:pt idx="0">
                  <c:v>1.4171479926266224</c:v>
                </c:pt>
                <c:pt idx="1">
                  <c:v>1.04544664362616</c:v>
                </c:pt>
                <c:pt idx="2">
                  <c:v>0.67374529462569743</c:v>
                </c:pt>
                <c:pt idx="3">
                  <c:v>0.30204394562523507</c:v>
                </c:pt>
                <c:pt idx="4">
                  <c:v>-6.9657403375227411E-2</c:v>
                </c:pt>
                <c:pt idx="5">
                  <c:v>-0.44135875237568989</c:v>
                </c:pt>
                <c:pt idx="6">
                  <c:v>-0.81306010137615237</c:v>
                </c:pt>
                <c:pt idx="7">
                  <c:v>-1.1847614503766148</c:v>
                </c:pt>
                <c:pt idx="8">
                  <c:v>-1.5564627993770772</c:v>
                </c:pt>
                <c:pt idx="9">
                  <c:v>-1.9281641483775398</c:v>
                </c:pt>
                <c:pt idx="10">
                  <c:v>-2.2998654973780024</c:v>
                </c:pt>
                <c:pt idx="11">
                  <c:v>-2.6715668463784645</c:v>
                </c:pt>
                <c:pt idx="12">
                  <c:v>-3.0432681953789271</c:v>
                </c:pt>
                <c:pt idx="13">
                  <c:v>-3.4149695443793897</c:v>
                </c:pt>
                <c:pt idx="14">
                  <c:v>-3.7866708933798519</c:v>
                </c:pt>
                <c:pt idx="15">
                  <c:v>-4.1583722423803149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1D7-42AE-B7FB-BE414A3527D7}"/>
            </c:ext>
          </c:extLst>
        </c:ser>
        <c:ser>
          <c:idx val="6"/>
          <c:order val="4"/>
          <c:tx>
            <c:strRef>
              <c:f>ND!$AB$11</c:f>
              <c:strCache>
                <c:ptCount val="1"/>
                <c:pt idx="0">
                  <c:v>All data upper 95%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ND!$Z$12:$Z$27</c:f>
              <c:numCache>
                <c:formatCode>General</c:formatCode>
                <c:ptCount val="16"/>
                <c:pt idx="0">
                  <c:v>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65</c:v>
                </c:pt>
                <c:pt idx="5">
                  <c:v>70</c:v>
                </c:pt>
                <c:pt idx="6">
                  <c:v>75</c:v>
                </c:pt>
                <c:pt idx="7">
                  <c:v>80</c:v>
                </c:pt>
                <c:pt idx="8">
                  <c:v>85</c:v>
                </c:pt>
                <c:pt idx="9">
                  <c:v>90</c:v>
                </c:pt>
                <c:pt idx="10">
                  <c:v>95</c:v>
                </c:pt>
                <c:pt idx="11">
                  <c:v>100</c:v>
                </c:pt>
                <c:pt idx="12">
                  <c:v>105</c:v>
                </c:pt>
                <c:pt idx="13">
                  <c:v>110</c:v>
                </c:pt>
                <c:pt idx="14">
                  <c:v>115</c:v>
                </c:pt>
                <c:pt idx="15">
                  <c:v>120</c:v>
                </c:pt>
              </c:numCache>
            </c:numRef>
          </c:xVal>
          <c:yVal>
            <c:numRef>
              <c:f>ND!$AB$12:$AB$27</c:f>
              <c:numCache>
                <c:formatCode>0.00</c:formatCode>
                <c:ptCount val="16"/>
                <c:pt idx="0">
                  <c:v>2.9267995840554955</c:v>
                </c:pt>
                <c:pt idx="1">
                  <c:v>2.5550982350550333</c:v>
                </c:pt>
                <c:pt idx="2">
                  <c:v>2.1833968860545707</c:v>
                </c:pt>
                <c:pt idx="3">
                  <c:v>1.8116955370541084</c:v>
                </c:pt>
                <c:pt idx="4">
                  <c:v>1.439994188053646</c:v>
                </c:pt>
                <c:pt idx="5">
                  <c:v>1.0682928390531834</c:v>
                </c:pt>
                <c:pt idx="6">
                  <c:v>0.69659149005272092</c:v>
                </c:pt>
                <c:pt idx="7">
                  <c:v>0.32489014105225844</c:v>
                </c:pt>
                <c:pt idx="8">
                  <c:v>-4.6811207948203926E-2</c:v>
                </c:pt>
                <c:pt idx="9">
                  <c:v>-0.41851255694866651</c:v>
                </c:pt>
                <c:pt idx="10">
                  <c:v>-0.7902139059491291</c:v>
                </c:pt>
                <c:pt idx="11">
                  <c:v>-1.1619152549495912</c:v>
                </c:pt>
                <c:pt idx="12">
                  <c:v>-1.5336166039500538</c:v>
                </c:pt>
                <c:pt idx="13">
                  <c:v>-1.9053179529505164</c:v>
                </c:pt>
                <c:pt idx="14">
                  <c:v>-2.2770193019509786</c:v>
                </c:pt>
                <c:pt idx="15">
                  <c:v>-2.6487206509514416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1D7-42AE-B7FB-BE414A352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759448"/>
        <c:axId val="302762072"/>
      </c:scatterChart>
      <c:valAx>
        <c:axId val="302759448"/>
        <c:scaling>
          <c:orientation val="minMax"/>
          <c:max val="100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 (°C)</a:t>
                </a:r>
              </a:p>
            </c:rich>
          </c:tx>
          <c:layout>
            <c:manualLayout>
              <c:xMode val="edge"/>
              <c:yMode val="edge"/>
              <c:x val="0.40595222817050219"/>
              <c:y val="0.482469856830810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02762072"/>
        <c:crosses val="autoZero"/>
        <c:crossBetween val="midCat"/>
      </c:valAx>
      <c:valAx>
        <c:axId val="302762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 D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02759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32766960249482"/>
          <c:y val="0.61258034798630301"/>
          <c:w val="0.84854170971625265"/>
          <c:h val="0.38741965201369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Porcine Epidemic Diarrhea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PED!$M$1</c:f>
              <c:strCache>
                <c:ptCount val="1"/>
                <c:pt idx="0">
                  <c:v>Log 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PED!$J$2:$J$17</c:f>
              <c:numCache>
                <c:formatCode>General</c:formatCode>
                <c:ptCount val="16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145</c:v>
                </c:pt>
              </c:numCache>
            </c:numRef>
          </c:xVal>
          <c:yVal>
            <c:numRef>
              <c:f>PED!$M$2:$M$17</c:f>
              <c:numCache>
                <c:formatCode>General</c:formatCode>
                <c:ptCount val="16"/>
                <c:pt idx="0">
                  <c:v>0.64345267648618742</c:v>
                </c:pt>
                <c:pt idx="1">
                  <c:v>0.56820172406699498</c:v>
                </c:pt>
                <c:pt idx="2">
                  <c:v>0.38021124171160603</c:v>
                </c:pt>
                <c:pt idx="3">
                  <c:v>0.36172783601759284</c:v>
                </c:pt>
                <c:pt idx="4">
                  <c:v>1.0969100130080565</c:v>
                </c:pt>
                <c:pt idx="5">
                  <c:v>1.045757490560675</c:v>
                </c:pt>
                <c:pt idx="6">
                  <c:v>0.94564233767740735</c:v>
                </c:pt>
                <c:pt idx="7">
                  <c:v>0.88605664769316328</c:v>
                </c:pt>
                <c:pt idx="8">
                  <c:v>1.2180100429843634</c:v>
                </c:pt>
                <c:pt idx="9">
                  <c:v>0.45484486000851021</c:v>
                </c:pt>
                <c:pt idx="10">
                  <c:v>0.3222192947339193</c:v>
                </c:pt>
                <c:pt idx="11">
                  <c:v>0.11394335230683679</c:v>
                </c:pt>
                <c:pt idx="12">
                  <c:v>0.90687353472207044</c:v>
                </c:pt>
                <c:pt idx="13">
                  <c:v>0.78175537465246892</c:v>
                </c:pt>
                <c:pt idx="14">
                  <c:v>0.7965743332104297</c:v>
                </c:pt>
                <c:pt idx="15">
                  <c:v>0.83058866868514425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DA-467D-8AF0-DD3322854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088704"/>
        <c:axId val="486083128"/>
      </c:scatterChart>
      <c:scatterChart>
        <c:scatterStyle val="smoothMarker"/>
        <c:varyColors val="0"/>
        <c:ser>
          <c:idx val="2"/>
          <c:order val="1"/>
          <c:tx>
            <c:strRef>
              <c:f>PED!$V$11</c:f>
              <c:strCache>
                <c:ptCount val="1"/>
                <c:pt idx="0">
                  <c:v>Log D model 95% upper limit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PED!$T$12:$T$33</c:f>
              <c:numCache>
                <c:formatCode>General</c:formatCode>
                <c:ptCount val="22"/>
                <c:pt idx="0">
                  <c:v>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65</c:v>
                </c:pt>
                <c:pt idx="5">
                  <c:v>70</c:v>
                </c:pt>
                <c:pt idx="6">
                  <c:v>75</c:v>
                </c:pt>
                <c:pt idx="7">
                  <c:v>80</c:v>
                </c:pt>
                <c:pt idx="8">
                  <c:v>85</c:v>
                </c:pt>
                <c:pt idx="9">
                  <c:v>90</c:v>
                </c:pt>
                <c:pt idx="10">
                  <c:v>95</c:v>
                </c:pt>
                <c:pt idx="11">
                  <c:v>100</c:v>
                </c:pt>
                <c:pt idx="12">
                  <c:v>105</c:v>
                </c:pt>
                <c:pt idx="13">
                  <c:v>110</c:v>
                </c:pt>
                <c:pt idx="14">
                  <c:v>115</c:v>
                </c:pt>
                <c:pt idx="15">
                  <c:v>120</c:v>
                </c:pt>
                <c:pt idx="16">
                  <c:v>125</c:v>
                </c:pt>
                <c:pt idx="17">
                  <c:v>130</c:v>
                </c:pt>
                <c:pt idx="18">
                  <c:v>135</c:v>
                </c:pt>
                <c:pt idx="19">
                  <c:v>140</c:v>
                </c:pt>
                <c:pt idx="20">
                  <c:v>145</c:v>
                </c:pt>
                <c:pt idx="21">
                  <c:v>150</c:v>
                </c:pt>
              </c:numCache>
            </c:numRef>
          </c:xVal>
          <c:yVal>
            <c:numRef>
              <c:f>PED!$V$12:$V$33</c:f>
              <c:numCache>
                <c:formatCode>0.00</c:formatCode>
                <c:ptCount val="22"/>
                <c:pt idx="0">
                  <c:v>1.5390670230684789</c:v>
                </c:pt>
                <c:pt idx="1">
                  <c:v>1.5262499094257236</c:v>
                </c:pt>
                <c:pt idx="2">
                  <c:v>1.5134327957829683</c:v>
                </c:pt>
                <c:pt idx="3">
                  <c:v>1.500615682140213</c:v>
                </c:pt>
                <c:pt idx="4">
                  <c:v>1.4877985684974577</c:v>
                </c:pt>
                <c:pt idx="5">
                  <c:v>1.4749814548547027</c:v>
                </c:pt>
                <c:pt idx="6">
                  <c:v>1.4621643412119476</c:v>
                </c:pt>
                <c:pt idx="7">
                  <c:v>1.4493472275691923</c:v>
                </c:pt>
                <c:pt idx="8">
                  <c:v>1.436530113926437</c:v>
                </c:pt>
                <c:pt idx="9">
                  <c:v>1.4237130002836818</c:v>
                </c:pt>
                <c:pt idx="10">
                  <c:v>1.4108958866409265</c:v>
                </c:pt>
                <c:pt idx="11">
                  <c:v>1.3980787729981714</c:v>
                </c:pt>
                <c:pt idx="12">
                  <c:v>1.3852616593554163</c:v>
                </c:pt>
                <c:pt idx="13">
                  <c:v>1.3724445457126611</c:v>
                </c:pt>
                <c:pt idx="14">
                  <c:v>1.3596274320699058</c:v>
                </c:pt>
                <c:pt idx="15">
                  <c:v>1.3468103184271505</c:v>
                </c:pt>
                <c:pt idx="16">
                  <c:v>1.3339932047843954</c:v>
                </c:pt>
                <c:pt idx="17">
                  <c:v>1.3211760911416401</c:v>
                </c:pt>
                <c:pt idx="18">
                  <c:v>1.3083589774988851</c:v>
                </c:pt>
                <c:pt idx="19">
                  <c:v>1.2955418638561298</c:v>
                </c:pt>
                <c:pt idx="20">
                  <c:v>1.2827247502133745</c:v>
                </c:pt>
                <c:pt idx="21">
                  <c:v>1.2699076365706192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E02-47EB-891E-9D6BE2922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088704"/>
        <c:axId val="486083128"/>
      </c:scatterChart>
      <c:valAx>
        <c:axId val="486088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6083128"/>
        <c:crosses val="autoZero"/>
        <c:crossBetween val="midCat"/>
      </c:valAx>
      <c:valAx>
        <c:axId val="486083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 D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6088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African Swine Fever</a:t>
            </a:r>
          </a:p>
        </c:rich>
      </c:tx>
      <c:layout>
        <c:manualLayout>
          <c:xMode val="edge"/>
          <c:yMode val="edge"/>
          <c:x val="0.4150485564304462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ASF!$M$1</c:f>
              <c:strCache>
                <c:ptCount val="1"/>
                <c:pt idx="0">
                  <c:v>log 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ASF!$J$2:$J$15</c:f>
              <c:numCache>
                <c:formatCode>General</c:formatCode>
                <c:ptCount val="14"/>
                <c:pt idx="0">
                  <c:v>50</c:v>
                </c:pt>
                <c:pt idx="1">
                  <c:v>56</c:v>
                </c:pt>
                <c:pt idx="2">
                  <c:v>60</c:v>
                </c:pt>
                <c:pt idx="3">
                  <c:v>56</c:v>
                </c:pt>
                <c:pt idx="4">
                  <c:v>60</c:v>
                </c:pt>
                <c:pt idx="5">
                  <c:v>56</c:v>
                </c:pt>
                <c:pt idx="6">
                  <c:v>60</c:v>
                </c:pt>
                <c:pt idx="7">
                  <c:v>56</c:v>
                </c:pt>
                <c:pt idx="8">
                  <c:v>60</c:v>
                </c:pt>
                <c:pt idx="9">
                  <c:v>60</c:v>
                </c:pt>
                <c:pt idx="10">
                  <c:v>56</c:v>
                </c:pt>
                <c:pt idx="11">
                  <c:v>60</c:v>
                </c:pt>
                <c:pt idx="12">
                  <c:v>56</c:v>
                </c:pt>
                <c:pt idx="13">
                  <c:v>60</c:v>
                </c:pt>
              </c:numCache>
            </c:numRef>
          </c:xVal>
          <c:yVal>
            <c:numRef>
              <c:f>ASF!$M$2:$M$15</c:f>
              <c:numCache>
                <c:formatCode>General</c:formatCode>
                <c:ptCount val="14"/>
                <c:pt idx="0">
                  <c:v>1.9330532103693867</c:v>
                </c:pt>
                <c:pt idx="1">
                  <c:v>0.52287874528033784</c:v>
                </c:pt>
                <c:pt idx="2">
                  <c:v>0.39794000867203766</c:v>
                </c:pt>
                <c:pt idx="3">
                  <c:v>0.52287874528033784</c:v>
                </c:pt>
                <c:pt idx="4">
                  <c:v>-0.25527250510330607</c:v>
                </c:pt>
                <c:pt idx="5">
                  <c:v>0.52287874528033784</c:v>
                </c:pt>
                <c:pt idx="6">
                  <c:v>-0.17609125905568127</c:v>
                </c:pt>
                <c:pt idx="7">
                  <c:v>0.52287874528033784</c:v>
                </c:pt>
                <c:pt idx="8">
                  <c:v>-0.34242268082220617</c:v>
                </c:pt>
                <c:pt idx="9">
                  <c:v>0.55284196865778079</c:v>
                </c:pt>
                <c:pt idx="10">
                  <c:v>0.96523789374078806</c:v>
                </c:pt>
                <c:pt idx="11">
                  <c:v>0.35001645635485479</c:v>
                </c:pt>
                <c:pt idx="12">
                  <c:v>1.2821446515036075</c:v>
                </c:pt>
                <c:pt idx="13">
                  <c:v>0.16749108729376364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9D-406A-8CC3-670BB07E2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154784"/>
        <c:axId val="541155112"/>
      </c:scatterChart>
      <c:valAx>
        <c:axId val="541154784"/>
        <c:scaling>
          <c:orientation val="minMax"/>
          <c:max val="80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 (°C)</a:t>
                </a:r>
              </a:p>
            </c:rich>
          </c:tx>
          <c:layout>
            <c:manualLayout>
              <c:xMode val="edge"/>
              <c:yMode val="edge"/>
              <c:x val="0.43359601924759411"/>
              <c:y val="0.901828521434820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1155112"/>
        <c:crosses val="autoZero"/>
        <c:crossBetween val="midCat"/>
      </c:valAx>
      <c:valAx>
        <c:axId val="541155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 D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1154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Porcine Reproductive and Respiratory syndrome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PRRS!$J$2:$J$11</c:f>
              <c:numCache>
                <c:formatCode>General</c:formatCode>
                <c:ptCount val="10"/>
                <c:pt idx="0">
                  <c:v>50</c:v>
                </c:pt>
                <c:pt idx="1">
                  <c:v>40</c:v>
                </c:pt>
                <c:pt idx="2">
                  <c:v>40</c:v>
                </c:pt>
                <c:pt idx="3">
                  <c:v>60</c:v>
                </c:pt>
                <c:pt idx="4">
                  <c:v>60</c:v>
                </c:pt>
                <c:pt idx="5">
                  <c:v>80</c:v>
                </c:pt>
                <c:pt idx="6">
                  <c:v>80</c:v>
                </c:pt>
                <c:pt idx="7">
                  <c:v>56</c:v>
                </c:pt>
                <c:pt idx="8">
                  <c:v>37</c:v>
                </c:pt>
                <c:pt idx="9">
                  <c:v>37</c:v>
                </c:pt>
              </c:numCache>
            </c:numRef>
          </c:xVal>
          <c:yVal>
            <c:numRef>
              <c:f>PRRS!$N$2:$N$11</c:f>
              <c:numCache>
                <c:formatCode>General</c:formatCode>
                <c:ptCount val="10"/>
                <c:pt idx="0">
                  <c:v>2.5007851729174559</c:v>
                </c:pt>
                <c:pt idx="1">
                  <c:v>2.5007851729174559</c:v>
                </c:pt>
                <c:pt idx="2">
                  <c:v>2.527114111639805</c:v>
                </c:pt>
                <c:pt idx="3">
                  <c:v>0.98091193777684349</c:v>
                </c:pt>
                <c:pt idx="4">
                  <c:v>1.4479328655921802</c:v>
                </c:pt>
                <c:pt idx="5">
                  <c:v>7.4816440645174717E-2</c:v>
                </c:pt>
                <c:pt idx="6">
                  <c:v>0.28936595152003164</c:v>
                </c:pt>
                <c:pt idx="7">
                  <c:v>1.2966651902615312</c:v>
                </c:pt>
                <c:pt idx="8">
                  <c:v>2.7737864449811935</c:v>
                </c:pt>
                <c:pt idx="9">
                  <c:v>3.1095785469043866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92-47B4-94B7-51E82086977B}"/>
            </c:ext>
          </c:extLst>
        </c:ser>
        <c:ser>
          <c:idx val="1"/>
          <c:order val="1"/>
          <c:tx>
            <c:strRef>
              <c:f>PRRS!$V$11</c:f>
              <c:strCache>
                <c:ptCount val="1"/>
                <c:pt idx="0">
                  <c:v>Log D model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PRRS!$U$12:$U$27</c:f>
              <c:numCache>
                <c:formatCode>General</c:formatCode>
                <c:ptCount val="16"/>
                <c:pt idx="0">
                  <c:v>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100</c:v>
                </c:pt>
                <c:pt idx="15">
                  <c:v>105</c:v>
                </c:pt>
              </c:numCache>
            </c:numRef>
          </c:xVal>
          <c:yVal>
            <c:numRef>
              <c:f>PRRS!$V$12:$V$27</c:f>
              <c:numCache>
                <c:formatCode>0.00</c:formatCode>
                <c:ptCount val="16"/>
                <c:pt idx="0">
                  <c:v>3.2790138932802493</c:v>
                </c:pt>
                <c:pt idx="1">
                  <c:v>2.960505620412615</c:v>
                </c:pt>
                <c:pt idx="2">
                  <c:v>2.6419973475449812</c:v>
                </c:pt>
                <c:pt idx="3">
                  <c:v>2.3234890746773469</c:v>
                </c:pt>
                <c:pt idx="4">
                  <c:v>2.0049808018097126</c:v>
                </c:pt>
                <c:pt idx="5">
                  <c:v>1.6864725289420788</c:v>
                </c:pt>
                <c:pt idx="6">
                  <c:v>1.3679642560744445</c:v>
                </c:pt>
                <c:pt idx="7">
                  <c:v>1.0494559832068104</c:v>
                </c:pt>
                <c:pt idx="8">
                  <c:v>0.73094771033917638</c:v>
                </c:pt>
                <c:pt idx="9">
                  <c:v>0.41243943747154227</c:v>
                </c:pt>
                <c:pt idx="10">
                  <c:v>9.3931164603908157E-2</c:v>
                </c:pt>
                <c:pt idx="11">
                  <c:v>-0.2245771082637259</c:v>
                </c:pt>
                <c:pt idx="12">
                  <c:v>-0.54308538113136007</c:v>
                </c:pt>
                <c:pt idx="13">
                  <c:v>-0.86159365399899412</c:v>
                </c:pt>
                <c:pt idx="14">
                  <c:v>-1.1801019268666282</c:v>
                </c:pt>
                <c:pt idx="15">
                  <c:v>-1.4986101997342622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7A-4A79-A240-C794AEF17F2F}"/>
            </c:ext>
          </c:extLst>
        </c:ser>
        <c:ser>
          <c:idx val="2"/>
          <c:order val="2"/>
          <c:tx>
            <c:strRef>
              <c:f>PRRS!$W$11</c:f>
              <c:strCache>
                <c:ptCount val="1"/>
                <c:pt idx="0">
                  <c:v>Log D model 95% upper limit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PRRS!$U$12:$U$27</c:f>
              <c:numCache>
                <c:formatCode>General</c:formatCode>
                <c:ptCount val="16"/>
                <c:pt idx="0">
                  <c:v>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100</c:v>
                </c:pt>
                <c:pt idx="15">
                  <c:v>105</c:v>
                </c:pt>
              </c:numCache>
            </c:numRef>
          </c:xVal>
          <c:yVal>
            <c:numRef>
              <c:f>PRRS!$W$12:$W$27</c:f>
              <c:numCache>
                <c:formatCode>0.00</c:formatCode>
                <c:ptCount val="16"/>
                <c:pt idx="0">
                  <c:v>3.9413772103067553</c:v>
                </c:pt>
                <c:pt idx="1">
                  <c:v>3.622868937439121</c:v>
                </c:pt>
                <c:pt idx="2">
                  <c:v>3.3043606645714871</c:v>
                </c:pt>
                <c:pt idx="3">
                  <c:v>2.9858523917038529</c:v>
                </c:pt>
                <c:pt idx="4">
                  <c:v>2.6673441188362186</c:v>
                </c:pt>
                <c:pt idx="5">
                  <c:v>2.3488358459685847</c:v>
                </c:pt>
                <c:pt idx="6">
                  <c:v>2.0303275731009505</c:v>
                </c:pt>
                <c:pt idx="7">
                  <c:v>1.7118193002333164</c:v>
                </c:pt>
                <c:pt idx="8">
                  <c:v>1.3933110273656824</c:v>
                </c:pt>
                <c:pt idx="9">
                  <c:v>1.0748027544980483</c:v>
                </c:pt>
                <c:pt idx="10">
                  <c:v>0.75629448163041413</c:v>
                </c:pt>
                <c:pt idx="11">
                  <c:v>0.43778620876278007</c:v>
                </c:pt>
                <c:pt idx="12">
                  <c:v>0.1192779358951459</c:v>
                </c:pt>
                <c:pt idx="13">
                  <c:v>-0.19923033697248815</c:v>
                </c:pt>
                <c:pt idx="14">
                  <c:v>-0.51773860984012221</c:v>
                </c:pt>
                <c:pt idx="15">
                  <c:v>-0.83624688270775627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7A-4A79-A240-C794AEF17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308600"/>
        <c:axId val="498308928"/>
      </c:scatterChart>
      <c:valAx>
        <c:axId val="498308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8308928"/>
        <c:crosses val="autoZero"/>
        <c:crossBetween val="midCat"/>
      </c:valAx>
      <c:valAx>
        <c:axId val="49830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 D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8308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Classical Swine Fever</a:t>
            </a:r>
          </a:p>
        </c:rich>
      </c:tx>
      <c:layout>
        <c:manualLayout>
          <c:xMode val="edge"/>
          <c:yMode val="edge"/>
          <c:x val="0.41504855643044625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CSF!$J$2:$J$5</c:f>
              <c:numCache>
                <c:formatCode>General</c:formatCode>
                <c:ptCount val="4"/>
                <c:pt idx="0">
                  <c:v>55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</c:numCache>
            </c:numRef>
          </c:xVal>
          <c:yVal>
            <c:numRef>
              <c:f>CSF!$M$2:$M$5</c:f>
              <c:numCache>
                <c:formatCode>General</c:formatCode>
                <c:ptCount val="4"/>
                <c:pt idx="0">
                  <c:v>5.5517327849831329E-2</c:v>
                </c:pt>
                <c:pt idx="1">
                  <c:v>7.5720713938118342E-2</c:v>
                </c:pt>
                <c:pt idx="2">
                  <c:v>-0.38916608436453254</c:v>
                </c:pt>
                <c:pt idx="3">
                  <c:v>-0.34242268082220623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A2-4B58-B4FA-F6770FA2F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585424"/>
        <c:axId val="539585752"/>
      </c:scatterChart>
      <c:valAx>
        <c:axId val="53958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9585752"/>
        <c:crosses val="autoZero"/>
        <c:crossBetween val="midCat"/>
      </c:valAx>
      <c:valAx>
        <c:axId val="539585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 D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9585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329045</xdr:colOff>
      <xdr:row>82</xdr:row>
      <xdr:rowOff>25976</xdr:rowOff>
    </xdr:from>
    <xdr:to>
      <xdr:col>9</xdr:col>
      <xdr:colOff>571500</xdr:colOff>
      <xdr:row>104</xdr:row>
      <xdr:rowOff>121226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54</xdr:row>
      <xdr:rowOff>19050</xdr:rowOff>
    </xdr:from>
    <xdr:to>
      <xdr:col>12</xdr:col>
      <xdr:colOff>261937</xdr:colOff>
      <xdr:row>74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61</xdr:row>
      <xdr:rowOff>152400</xdr:rowOff>
    </xdr:from>
    <xdr:to>
      <xdr:col>9</xdr:col>
      <xdr:colOff>504825</xdr:colOff>
      <xdr:row>84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467591</xdr:colOff>
      <xdr:row>19</xdr:row>
      <xdr:rowOff>9525</xdr:rowOff>
    </xdr:from>
    <xdr:to>
      <xdr:col>4</xdr:col>
      <xdr:colOff>580160</xdr:colOff>
      <xdr:row>34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347662</xdr:colOff>
      <xdr:row>16</xdr:row>
      <xdr:rowOff>76200</xdr:rowOff>
    </xdr:from>
    <xdr:to>
      <xdr:col>14</xdr:col>
      <xdr:colOff>42862</xdr:colOff>
      <xdr:row>30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857250</xdr:colOff>
      <xdr:row>11</xdr:row>
      <xdr:rowOff>123825</xdr:rowOff>
    </xdr:from>
    <xdr:to>
      <xdr:col>4</xdr:col>
      <xdr:colOff>1076325</xdr:colOff>
      <xdr:row>27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404812</xdr:colOff>
      <xdr:row>7</xdr:row>
      <xdr:rowOff>114300</xdr:rowOff>
    </xdr:from>
    <xdr:to>
      <xdr:col>15</xdr:col>
      <xdr:colOff>100012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0"/>
  <sheetViews>
    <sheetView tabSelected="1" zoomScale="110" zoomScaleNormal="110" workbookViewId="0">
      <pane ySplit="1" topLeftCell="A86" activePane="bottomLeft" state="frozen"/>
      <selection pane="bottomLeft" activeCell="AF13" sqref="AF13"/>
    </sheetView>
  </sheetViews>
  <sheetFormatPr baseColWidth="10" defaultColWidth="9.140625" defaultRowHeight="15" x14ac:dyDescent="0.25"/>
  <cols>
    <col min="1" max="1" width="14.85546875" bestFit="1" customWidth="1"/>
    <col min="5" max="5" width="23.28515625" bestFit="1" customWidth="1"/>
    <col min="15" max="15" width="12.42578125" bestFit="1" customWidth="1"/>
    <col min="18" max="18" width="79.28515625" bestFit="1" customWidth="1"/>
    <col min="20" max="20" width="11.5703125" customWidth="1"/>
    <col min="21" max="21" width="9.7109375" bestFit="1" customWidth="1"/>
    <col min="26" max="26" width="12.140625" customWidth="1"/>
    <col min="27" max="27" width="9.7109375" bestFit="1" customWidth="1"/>
    <col min="29" max="29" width="20.140625" bestFit="1" customWidth="1"/>
    <col min="30" max="30" width="18.28515625" bestFit="1" customWidth="1"/>
    <col min="31" max="31" width="32.42578125" bestFit="1" customWidth="1"/>
  </cols>
  <sheetData>
    <row r="1" spans="1:32" s="6" customFormat="1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12</v>
      </c>
      <c r="N1" s="5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T1" s="14" t="s">
        <v>18</v>
      </c>
      <c r="Z1" s="14" t="s">
        <v>19</v>
      </c>
    </row>
    <row r="2" spans="1:32" x14ac:dyDescent="0.25">
      <c r="A2" t="s">
        <v>20</v>
      </c>
      <c r="B2" t="s">
        <v>21</v>
      </c>
      <c r="C2" t="s">
        <v>22</v>
      </c>
      <c r="D2" t="s">
        <v>23</v>
      </c>
      <c r="E2" t="s">
        <v>24</v>
      </c>
      <c r="F2" t="s">
        <v>25</v>
      </c>
      <c r="J2">
        <v>61.1</v>
      </c>
      <c r="K2">
        <v>0.23</v>
      </c>
      <c r="M2">
        <f t="shared" ref="M2:M48" si="0">LOG10(K2)</f>
        <v>-0.63827216398240705</v>
      </c>
      <c r="N2" s="15">
        <f>$U$8-(J2-$U$4)/$U$3</f>
        <v>-0.59763424680713007</v>
      </c>
      <c r="O2" t="s">
        <v>26</v>
      </c>
      <c r="P2">
        <v>2013</v>
      </c>
      <c r="R2" t="s">
        <v>27</v>
      </c>
      <c r="T2" t="s">
        <v>28</v>
      </c>
      <c r="U2" t="s">
        <v>29</v>
      </c>
      <c r="Z2" t="s">
        <v>28</v>
      </c>
      <c r="AA2" t="s">
        <v>30</v>
      </c>
    </row>
    <row r="3" spans="1:32" x14ac:dyDescent="0.2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J3">
        <v>62.2</v>
      </c>
      <c r="K3">
        <v>0.14000000000000001</v>
      </c>
      <c r="M3">
        <f t="shared" si="0"/>
        <v>-0.85387196432176193</v>
      </c>
      <c r="N3" s="15">
        <f t="shared" ref="N3:N66" si="1">$U$8-(J3-$U$4)/$U$3</f>
        <v>-0.80967463395271855</v>
      </c>
      <c r="O3" t="s">
        <v>26</v>
      </c>
      <c r="P3">
        <v>2013</v>
      </c>
      <c r="R3" t="s">
        <v>27</v>
      </c>
      <c r="T3" t="s">
        <v>31</v>
      </c>
      <c r="U3" s="8">
        <f>-1/SLOPE(M2:M62,J2:J62)</f>
        <v>5.1876909621219172</v>
      </c>
      <c r="V3" s="8">
        <f>SLOPE(M2:M62,J2:J62)</f>
        <v>-0.19276398831417105</v>
      </c>
      <c r="W3" t="s">
        <v>32</v>
      </c>
      <c r="Z3" t="s">
        <v>31</v>
      </c>
      <c r="AA3" s="8">
        <f>-1/SLOPE(M2:M79,J2:J79)</f>
        <v>8.879267411992199</v>
      </c>
      <c r="AB3" s="8">
        <f>SLOPE(M2:M79,J2:J79)</f>
        <v>-0.11262190376758062</v>
      </c>
    </row>
    <row r="4" spans="1:32" x14ac:dyDescent="0.25">
      <c r="A4" t="s">
        <v>20</v>
      </c>
      <c r="B4" t="s">
        <v>21</v>
      </c>
      <c r="C4" t="s">
        <v>22</v>
      </c>
      <c r="D4" t="s">
        <v>23</v>
      </c>
      <c r="E4" t="s">
        <v>33</v>
      </c>
      <c r="F4" t="s">
        <v>25</v>
      </c>
      <c r="J4">
        <v>62.2</v>
      </c>
      <c r="K4">
        <v>0.05</v>
      </c>
      <c r="M4">
        <f t="shared" si="0"/>
        <v>-1.3010299956639813</v>
      </c>
      <c r="N4" s="15">
        <f t="shared" si="1"/>
        <v>-0.80967463395271855</v>
      </c>
      <c r="O4" t="s">
        <v>26</v>
      </c>
      <c r="P4">
        <v>2013</v>
      </c>
      <c r="R4" t="s">
        <v>27</v>
      </c>
      <c r="T4" t="s">
        <v>34</v>
      </c>
      <c r="U4">
        <v>70</v>
      </c>
      <c r="Z4" t="s">
        <v>34</v>
      </c>
      <c r="AA4" s="22">
        <v>70</v>
      </c>
    </row>
    <row r="5" spans="1:32" x14ac:dyDescent="0.25">
      <c r="A5" t="s">
        <v>20</v>
      </c>
      <c r="B5" t="s">
        <v>21</v>
      </c>
      <c r="C5" t="s">
        <v>22</v>
      </c>
      <c r="D5" t="s">
        <v>23</v>
      </c>
      <c r="E5" t="s">
        <v>33</v>
      </c>
      <c r="F5" t="s">
        <v>25</v>
      </c>
      <c r="J5">
        <v>63.3</v>
      </c>
      <c r="K5">
        <v>0.02</v>
      </c>
      <c r="M5">
        <f t="shared" si="0"/>
        <v>-1.6989700043360187</v>
      </c>
      <c r="N5" s="15">
        <f t="shared" si="1"/>
        <v>-1.0217150210983055</v>
      </c>
      <c r="O5" t="s">
        <v>26</v>
      </c>
      <c r="P5">
        <v>2013</v>
      </c>
      <c r="R5" t="s">
        <v>27</v>
      </c>
      <c r="T5" t="s">
        <v>35</v>
      </c>
      <c r="U5" s="8">
        <f>TINV(0.05,COUNT(M2:M62)-2)</f>
        <v>2.0009953780882688</v>
      </c>
      <c r="Z5" t="s">
        <v>35</v>
      </c>
      <c r="AA5" s="8">
        <f>TINV(0.05,COUNT(M2:M79)-2)</f>
        <v>1.991672609644662</v>
      </c>
    </row>
    <row r="6" spans="1:32" x14ac:dyDescent="0.25">
      <c r="A6" t="s">
        <v>20</v>
      </c>
      <c r="B6" t="s">
        <v>21</v>
      </c>
      <c r="C6" t="s">
        <v>22</v>
      </c>
      <c r="D6" t="s">
        <v>23</v>
      </c>
      <c r="E6" t="s">
        <v>36</v>
      </c>
      <c r="F6" t="s">
        <v>25</v>
      </c>
      <c r="J6">
        <v>60</v>
      </c>
      <c r="K6">
        <v>0.06</v>
      </c>
      <c r="M6">
        <f t="shared" si="0"/>
        <v>-1.2218487496163564</v>
      </c>
      <c r="N6" s="15">
        <f t="shared" si="1"/>
        <v>-0.38559385966154158</v>
      </c>
      <c r="O6" t="s">
        <v>26</v>
      </c>
      <c r="P6">
        <v>2013</v>
      </c>
      <c r="R6" t="s">
        <v>27</v>
      </c>
      <c r="T6" t="s">
        <v>37</v>
      </c>
      <c r="U6" s="8">
        <f>SUMXMY2(M2:M62,N2:N62)</f>
        <v>11.714820340607361</v>
      </c>
      <c r="Z6" t="s">
        <v>37</v>
      </c>
      <c r="AA6" s="8">
        <f>SUMXMY2(M2:M79,N2:N79)</f>
        <v>125.6756937312244</v>
      </c>
    </row>
    <row r="7" spans="1:32" x14ac:dyDescent="0.25">
      <c r="A7" t="s">
        <v>20</v>
      </c>
      <c r="B7" t="s">
        <v>21</v>
      </c>
      <c r="C7" t="s">
        <v>22</v>
      </c>
      <c r="D7" t="s">
        <v>23</v>
      </c>
      <c r="E7" t="s">
        <v>36</v>
      </c>
      <c r="F7" t="s">
        <v>25</v>
      </c>
      <c r="J7">
        <v>61.1</v>
      </c>
      <c r="K7">
        <v>0.03</v>
      </c>
      <c r="M7">
        <f t="shared" si="0"/>
        <v>-1.5228787452803376</v>
      </c>
      <c r="N7" s="15">
        <f t="shared" si="1"/>
        <v>-0.59763424680713007</v>
      </c>
      <c r="O7" t="s">
        <v>26</v>
      </c>
      <c r="P7">
        <v>2013</v>
      </c>
      <c r="R7" t="s">
        <v>27</v>
      </c>
      <c r="T7" t="s">
        <v>38</v>
      </c>
      <c r="U7" s="8">
        <f>SQRT(U6/(COUNT(M2:M62)-2))</f>
        <v>0.44559654056045672</v>
      </c>
      <c r="Z7" t="s">
        <v>38</v>
      </c>
      <c r="AA7" s="8">
        <f>SQRT(AA6/(COUNT(M2:M79)-2))</f>
        <v>1.2859345042011501</v>
      </c>
      <c r="AE7" t="s">
        <v>39</v>
      </c>
      <c r="AF7" t="s">
        <v>40</v>
      </c>
    </row>
    <row r="8" spans="1:32" x14ac:dyDescent="0.25">
      <c r="A8" t="s">
        <v>20</v>
      </c>
      <c r="B8" t="s">
        <v>21</v>
      </c>
      <c r="C8" t="s">
        <v>22</v>
      </c>
      <c r="D8" t="s">
        <v>23</v>
      </c>
      <c r="E8" t="s">
        <v>41</v>
      </c>
      <c r="F8" t="s">
        <v>25</v>
      </c>
      <c r="J8">
        <v>62.2</v>
      </c>
      <c r="K8">
        <v>0.06</v>
      </c>
      <c r="M8">
        <f t="shared" si="0"/>
        <v>-1.2218487496163564</v>
      </c>
      <c r="N8" s="15">
        <f t="shared" si="1"/>
        <v>-0.80967463395271855</v>
      </c>
      <c r="O8" t="s">
        <v>26</v>
      </c>
      <c r="P8">
        <v>2013</v>
      </c>
      <c r="R8" t="s">
        <v>27</v>
      </c>
      <c r="T8" t="s">
        <v>42</v>
      </c>
      <c r="U8" s="8">
        <f>INTERCEPT(M2:M62,J2:J62)-U4/U3</f>
        <v>-2.3132337428032521</v>
      </c>
      <c r="V8" s="8">
        <f>INTERCEPT(M2:M62,J2:J62)</f>
        <v>11.180245439188722</v>
      </c>
      <c r="W8" t="s">
        <v>43</v>
      </c>
      <c r="X8" s="8"/>
      <c r="Z8" t="s">
        <v>42</v>
      </c>
      <c r="AA8" s="8">
        <f>INTERCEPT(M2:M79,J2:J79)-AA4/AA3</f>
        <v>-0.81088419947812262</v>
      </c>
      <c r="AB8" s="8">
        <f>INTERCEPT(M2:M79,J2:J79)</f>
        <v>7.0726490642525199</v>
      </c>
      <c r="AC8" t="s">
        <v>44</v>
      </c>
      <c r="AD8" s="8">
        <f>10^AA8</f>
        <v>0.15456665219769655</v>
      </c>
      <c r="AE8">
        <f>30/AD8</f>
        <v>194.09102528551162</v>
      </c>
    </row>
    <row r="9" spans="1:32" x14ac:dyDescent="0.25">
      <c r="A9" t="s">
        <v>20</v>
      </c>
      <c r="B9" t="s">
        <v>21</v>
      </c>
      <c r="C9" t="s">
        <v>22</v>
      </c>
      <c r="D9" t="s">
        <v>23</v>
      </c>
      <c r="E9" t="s">
        <v>41</v>
      </c>
      <c r="F9" t="s">
        <v>25</v>
      </c>
      <c r="J9">
        <v>63.3</v>
      </c>
      <c r="K9">
        <v>0.04</v>
      </c>
      <c r="M9">
        <f t="shared" si="0"/>
        <v>-1.3979400086720375</v>
      </c>
      <c r="N9" s="15">
        <f t="shared" si="1"/>
        <v>-1.0217150210983055</v>
      </c>
      <c r="O9" t="s">
        <v>26</v>
      </c>
      <c r="P9">
        <v>2013</v>
      </c>
      <c r="R9" t="s">
        <v>27</v>
      </c>
      <c r="T9" t="s">
        <v>45</v>
      </c>
      <c r="U9" s="8">
        <f>U8+U5*U7</f>
        <v>-1.4215971246496564</v>
      </c>
      <c r="Z9" t="s">
        <v>45</v>
      </c>
      <c r="AA9" s="8">
        <f>AA8+AA5*AA7</f>
        <v>1.7502763303362965</v>
      </c>
      <c r="AC9" t="s">
        <v>46</v>
      </c>
      <c r="AD9" s="24">
        <f>10^AA9</f>
        <v>56.269924227290538</v>
      </c>
      <c r="AE9">
        <f>30/AD9</f>
        <v>0.53314448903149936</v>
      </c>
      <c r="AF9" s="38">
        <f>30/AF14</f>
        <v>1274.9760812398924</v>
      </c>
    </row>
    <row r="10" spans="1:32" ht="15.75" thickBot="1" x14ac:dyDescent="0.3">
      <c r="A10" t="s">
        <v>20</v>
      </c>
      <c r="B10" t="s">
        <v>21</v>
      </c>
      <c r="C10" t="s">
        <v>22</v>
      </c>
      <c r="D10" t="s">
        <v>23</v>
      </c>
      <c r="E10" t="s">
        <v>47</v>
      </c>
      <c r="F10" t="s">
        <v>25</v>
      </c>
      <c r="J10">
        <v>56.7</v>
      </c>
      <c r="K10">
        <v>5.6</v>
      </c>
      <c r="M10">
        <f t="shared" si="0"/>
        <v>0.74818802700620035</v>
      </c>
      <c r="N10" s="15">
        <f t="shared" si="1"/>
        <v>0.25052730177522209</v>
      </c>
      <c r="O10" t="s">
        <v>26</v>
      </c>
      <c r="P10">
        <v>2013</v>
      </c>
      <c r="R10" t="s">
        <v>27</v>
      </c>
    </row>
    <row r="11" spans="1:32" x14ac:dyDescent="0.25">
      <c r="A11" t="s">
        <v>20</v>
      </c>
      <c r="B11" t="s">
        <v>21</v>
      </c>
      <c r="C11" t="s">
        <v>22</v>
      </c>
      <c r="D11" t="s">
        <v>23</v>
      </c>
      <c r="E11" t="s">
        <v>47</v>
      </c>
      <c r="F11" t="s">
        <v>25</v>
      </c>
      <c r="J11">
        <v>57.7</v>
      </c>
      <c r="K11">
        <v>2.2999999999999998</v>
      </c>
      <c r="M11">
        <f t="shared" si="0"/>
        <v>0.36172783601759284</v>
      </c>
      <c r="N11" s="15">
        <f t="shared" si="1"/>
        <v>5.7763313461051347E-2</v>
      </c>
      <c r="O11" t="s">
        <v>26</v>
      </c>
      <c r="P11">
        <v>2013</v>
      </c>
      <c r="R11" t="s">
        <v>27</v>
      </c>
      <c r="T11" t="s">
        <v>48</v>
      </c>
      <c r="U11" t="s">
        <v>49</v>
      </c>
      <c r="V11" t="s">
        <v>50</v>
      </c>
      <c r="Z11" t="s">
        <v>48</v>
      </c>
      <c r="AA11" t="s">
        <v>51</v>
      </c>
      <c r="AB11" t="s">
        <v>52</v>
      </c>
      <c r="AE11" s="35"/>
      <c r="AF11" s="36"/>
    </row>
    <row r="12" spans="1:32" x14ac:dyDescent="0.25">
      <c r="A12" t="s">
        <v>20</v>
      </c>
      <c r="B12" t="s">
        <v>21</v>
      </c>
      <c r="C12" t="s">
        <v>22</v>
      </c>
      <c r="D12" t="s">
        <v>23</v>
      </c>
      <c r="E12" t="s">
        <v>47</v>
      </c>
      <c r="F12" t="s">
        <v>25</v>
      </c>
      <c r="J12">
        <v>59</v>
      </c>
      <c r="K12">
        <v>0.75</v>
      </c>
      <c r="M12">
        <f t="shared" si="0"/>
        <v>-0.12493873660829995</v>
      </c>
      <c r="N12" s="15">
        <f t="shared" si="1"/>
        <v>-0.1928298713473704</v>
      </c>
      <c r="O12" t="s">
        <v>26</v>
      </c>
      <c r="P12">
        <v>2013</v>
      </c>
      <c r="R12" t="s">
        <v>27</v>
      </c>
      <c r="T12">
        <v>45</v>
      </c>
      <c r="U12" s="15">
        <f>$U$8-(T12-$U$4)/$U$3</f>
        <v>2.505865965051024</v>
      </c>
      <c r="V12" s="8">
        <f>U12+$U$7*$U$5</f>
        <v>3.39750258320462</v>
      </c>
      <c r="Z12">
        <v>45</v>
      </c>
      <c r="AA12" s="15">
        <f>$AA$8-(Z12-$AA$4)/$AA$3</f>
        <v>2.0046633947113928</v>
      </c>
      <c r="AB12" s="8">
        <f>AA12+$AA$7*$AA$5</f>
        <v>4.5658239245258123</v>
      </c>
      <c r="AE12" s="29" t="s">
        <v>53</v>
      </c>
      <c r="AF12" s="37">
        <v>100</v>
      </c>
    </row>
    <row r="13" spans="1:32" x14ac:dyDescent="0.25">
      <c r="A13" t="s">
        <v>20</v>
      </c>
      <c r="B13" t="s">
        <v>21</v>
      </c>
      <c r="C13" t="s">
        <v>22</v>
      </c>
      <c r="D13" t="s">
        <v>23</v>
      </c>
      <c r="E13" t="s">
        <v>54</v>
      </c>
      <c r="F13" t="s">
        <v>25</v>
      </c>
      <c r="J13">
        <v>60</v>
      </c>
      <c r="K13">
        <v>0.56000000000000005</v>
      </c>
      <c r="M13">
        <f t="shared" si="0"/>
        <v>-0.25181197299379954</v>
      </c>
      <c r="N13" s="15">
        <f t="shared" si="1"/>
        <v>-0.38559385966154158</v>
      </c>
      <c r="O13" t="s">
        <v>26</v>
      </c>
      <c r="P13">
        <v>2013</v>
      </c>
      <c r="R13" t="s">
        <v>27</v>
      </c>
      <c r="T13">
        <f>T12+5</f>
        <v>50</v>
      </c>
      <c r="U13" s="15">
        <f t="shared" ref="U13:U27" si="2">$U$8-(T13-$U$4)/$U$3</f>
        <v>1.5420460234801689</v>
      </c>
      <c r="V13" s="8">
        <f t="shared" ref="V13:V27" si="3">U13+$U$7*$U$5</f>
        <v>2.4336826416337649</v>
      </c>
      <c r="Z13">
        <f>Z12+5</f>
        <v>50</v>
      </c>
      <c r="AA13" s="15">
        <f t="shared" ref="AA13:AA27" si="4">$AA$8-(Z13-$AA$4)/$AA$3</f>
        <v>1.4415538758734896</v>
      </c>
      <c r="AB13" s="8">
        <f t="shared" ref="AB13:AB27" si="5">AA13+$AA$7*$AA$5</f>
        <v>4.0027144056879091</v>
      </c>
      <c r="AE13" s="29" t="s">
        <v>55</v>
      </c>
      <c r="AF13" s="30">
        <f>AA9-(AF12-AA4)/AA3</f>
        <v>-1.6283807826911221</v>
      </c>
    </row>
    <row r="14" spans="1:32" x14ac:dyDescent="0.25">
      <c r="A14" t="s">
        <v>20</v>
      </c>
      <c r="B14" t="s">
        <v>56</v>
      </c>
      <c r="C14" t="s">
        <v>22</v>
      </c>
      <c r="D14" t="s">
        <v>57</v>
      </c>
      <c r="E14" t="s">
        <v>58</v>
      </c>
      <c r="I14">
        <v>7.6</v>
      </c>
      <c r="J14">
        <v>55</v>
      </c>
      <c r="K14">
        <v>18.600000000000001</v>
      </c>
      <c r="M14">
        <f t="shared" si="0"/>
        <v>1.2695129442179163</v>
      </c>
      <c r="N14" s="15">
        <f t="shared" si="1"/>
        <v>0.57822608190931346</v>
      </c>
      <c r="O14" t="s">
        <v>26</v>
      </c>
      <c r="P14">
        <v>2011</v>
      </c>
      <c r="Q14" t="s">
        <v>59</v>
      </c>
      <c r="R14" t="s">
        <v>60</v>
      </c>
      <c r="T14">
        <f t="shared" ref="T14:T27" si="6">T13+5</f>
        <v>55</v>
      </c>
      <c r="U14" s="15">
        <f t="shared" si="2"/>
        <v>0.57822608190931346</v>
      </c>
      <c r="V14" s="8">
        <f t="shared" si="3"/>
        <v>1.4698627000629092</v>
      </c>
      <c r="Z14">
        <f t="shared" ref="Z14:Z27" si="7">Z13+5</f>
        <v>55</v>
      </c>
      <c r="AA14" s="15">
        <f t="shared" si="4"/>
        <v>0.87844435703558665</v>
      </c>
      <c r="AB14" s="8">
        <f t="shared" si="5"/>
        <v>3.439604886850006</v>
      </c>
      <c r="AE14" s="29" t="s">
        <v>61</v>
      </c>
      <c r="AF14" s="30">
        <f>10^(AF13)</f>
        <v>2.352985318032438E-2</v>
      </c>
    </row>
    <row r="15" spans="1:32" ht="15.75" thickBot="1" x14ac:dyDescent="0.3">
      <c r="A15" t="s">
        <v>20</v>
      </c>
      <c r="B15" t="s">
        <v>56</v>
      </c>
      <c r="C15" t="s">
        <v>22</v>
      </c>
      <c r="D15" t="s">
        <v>57</v>
      </c>
      <c r="E15" t="s">
        <v>58</v>
      </c>
      <c r="I15">
        <v>7.6</v>
      </c>
      <c r="J15">
        <v>56</v>
      </c>
      <c r="K15">
        <v>8.5</v>
      </c>
      <c r="M15">
        <f t="shared" si="0"/>
        <v>0.92941892571429274</v>
      </c>
      <c r="N15" s="15">
        <f t="shared" si="1"/>
        <v>0.38546209359514272</v>
      </c>
      <c r="O15" t="s">
        <v>26</v>
      </c>
      <c r="P15">
        <v>2011</v>
      </c>
      <c r="Q15" t="s">
        <v>59</v>
      </c>
      <c r="R15" t="s">
        <v>60</v>
      </c>
      <c r="T15">
        <f t="shared" si="6"/>
        <v>60</v>
      </c>
      <c r="U15" s="15">
        <f t="shared" si="2"/>
        <v>-0.38559385966154158</v>
      </c>
      <c r="V15" s="8">
        <f t="shared" si="3"/>
        <v>0.50604275849205416</v>
      </c>
      <c r="Z15">
        <f t="shared" si="7"/>
        <v>60</v>
      </c>
      <c r="AA15" s="15">
        <f t="shared" si="4"/>
        <v>0.31533483819768349</v>
      </c>
      <c r="AB15" s="8">
        <f t="shared" si="5"/>
        <v>2.8764953680121028</v>
      </c>
      <c r="AE15" s="32"/>
      <c r="AF15" s="34"/>
    </row>
    <row r="16" spans="1:32" x14ac:dyDescent="0.25">
      <c r="A16" t="s">
        <v>20</v>
      </c>
      <c r="B16" t="s">
        <v>56</v>
      </c>
      <c r="C16" t="s">
        <v>22</v>
      </c>
      <c r="D16" t="s">
        <v>57</v>
      </c>
      <c r="E16" t="s">
        <v>58</v>
      </c>
      <c r="I16">
        <v>7.6</v>
      </c>
      <c r="J16">
        <v>56.7</v>
      </c>
      <c r="K16">
        <v>3.6</v>
      </c>
      <c r="M16">
        <f t="shared" si="0"/>
        <v>0.55630250076728727</v>
      </c>
      <c r="N16" s="15">
        <f t="shared" si="1"/>
        <v>0.25052730177522209</v>
      </c>
      <c r="O16" t="s">
        <v>26</v>
      </c>
      <c r="P16">
        <v>2011</v>
      </c>
      <c r="Q16" t="s">
        <v>59</v>
      </c>
      <c r="R16" t="s">
        <v>60</v>
      </c>
      <c r="T16">
        <f t="shared" si="6"/>
        <v>65</v>
      </c>
      <c r="U16" s="15">
        <f t="shared" si="2"/>
        <v>-1.3494138012323968</v>
      </c>
      <c r="V16" s="8">
        <f t="shared" si="3"/>
        <v>-0.45777718307880111</v>
      </c>
      <c r="Z16">
        <f t="shared" si="7"/>
        <v>65</v>
      </c>
      <c r="AA16" s="15">
        <f t="shared" si="4"/>
        <v>-0.24777468064021957</v>
      </c>
      <c r="AB16" s="8">
        <f t="shared" si="5"/>
        <v>2.3133858491741996</v>
      </c>
    </row>
    <row r="17" spans="1:28" x14ac:dyDescent="0.25">
      <c r="A17" t="s">
        <v>20</v>
      </c>
      <c r="B17" t="s">
        <v>56</v>
      </c>
      <c r="C17" t="s">
        <v>22</v>
      </c>
      <c r="D17" t="s">
        <v>57</v>
      </c>
      <c r="E17" t="s">
        <v>58</v>
      </c>
      <c r="I17">
        <v>7.6</v>
      </c>
      <c r="J17">
        <v>57</v>
      </c>
      <c r="K17">
        <v>2.5</v>
      </c>
      <c r="M17">
        <f t="shared" si="0"/>
        <v>0.3979400086720376</v>
      </c>
      <c r="N17" s="15">
        <f t="shared" si="1"/>
        <v>0.19269810528097153</v>
      </c>
      <c r="O17" t="s">
        <v>26</v>
      </c>
      <c r="P17">
        <v>2011</v>
      </c>
      <c r="Q17" t="s">
        <v>59</v>
      </c>
      <c r="R17" t="s">
        <v>60</v>
      </c>
      <c r="T17">
        <f t="shared" si="6"/>
        <v>70</v>
      </c>
      <c r="U17" s="15">
        <f t="shared" si="2"/>
        <v>-2.3132337428032521</v>
      </c>
      <c r="V17" s="8">
        <f t="shared" si="3"/>
        <v>-1.4215971246496564</v>
      </c>
      <c r="Z17">
        <f t="shared" si="7"/>
        <v>70</v>
      </c>
      <c r="AA17" s="15">
        <f t="shared" si="4"/>
        <v>-0.81088419947812262</v>
      </c>
      <c r="AB17" s="8">
        <f t="shared" si="5"/>
        <v>1.7502763303362965</v>
      </c>
    </row>
    <row r="18" spans="1:28" x14ac:dyDescent="0.25">
      <c r="A18" t="s">
        <v>20</v>
      </c>
      <c r="B18" t="s">
        <v>56</v>
      </c>
      <c r="C18" t="s">
        <v>22</v>
      </c>
      <c r="D18" t="s">
        <v>57</v>
      </c>
      <c r="E18" t="s">
        <v>58</v>
      </c>
      <c r="I18">
        <v>7.6</v>
      </c>
      <c r="J18">
        <v>58</v>
      </c>
      <c r="K18">
        <v>0.4</v>
      </c>
      <c r="M18">
        <f t="shared" si="0"/>
        <v>-0.3979400086720376</v>
      </c>
      <c r="N18" s="15">
        <f t="shared" si="1"/>
        <v>-6.5883033199654051E-5</v>
      </c>
      <c r="O18" t="s">
        <v>26</v>
      </c>
      <c r="P18">
        <v>2011</v>
      </c>
      <c r="Q18" t="s">
        <v>59</v>
      </c>
      <c r="R18" t="s">
        <v>60</v>
      </c>
      <c r="T18">
        <f t="shared" si="6"/>
        <v>75</v>
      </c>
      <c r="U18" s="15">
        <f t="shared" si="2"/>
        <v>-3.2770536843741072</v>
      </c>
      <c r="V18" s="8">
        <f t="shared" si="3"/>
        <v>-2.3854170662205112</v>
      </c>
      <c r="Z18">
        <f t="shared" si="7"/>
        <v>75</v>
      </c>
      <c r="AA18" s="15">
        <f t="shared" si="4"/>
        <v>-1.3739937183160258</v>
      </c>
      <c r="AB18" s="8">
        <f t="shared" si="5"/>
        <v>1.1871668114983933</v>
      </c>
    </row>
    <row r="19" spans="1:28" x14ac:dyDescent="0.25">
      <c r="A19" t="s">
        <v>20</v>
      </c>
      <c r="B19" t="s">
        <v>56</v>
      </c>
      <c r="C19" t="s">
        <v>22</v>
      </c>
      <c r="D19" t="s">
        <v>57</v>
      </c>
      <c r="E19" t="s">
        <v>58</v>
      </c>
      <c r="I19">
        <v>7.6</v>
      </c>
      <c r="J19">
        <v>59</v>
      </c>
      <c r="K19">
        <v>0.4</v>
      </c>
      <c r="M19">
        <f t="shared" si="0"/>
        <v>-0.3979400086720376</v>
      </c>
      <c r="N19" s="15">
        <f t="shared" si="1"/>
        <v>-0.1928298713473704</v>
      </c>
      <c r="O19" t="s">
        <v>26</v>
      </c>
      <c r="P19">
        <v>2011</v>
      </c>
      <c r="Q19" t="s">
        <v>59</v>
      </c>
      <c r="R19" t="s">
        <v>60</v>
      </c>
      <c r="T19">
        <f t="shared" si="6"/>
        <v>80</v>
      </c>
      <c r="U19" s="15">
        <f t="shared" si="2"/>
        <v>-4.2408736259449622</v>
      </c>
      <c r="V19" s="8">
        <f t="shared" si="3"/>
        <v>-3.3492370077913662</v>
      </c>
      <c r="Z19">
        <f t="shared" si="7"/>
        <v>80</v>
      </c>
      <c r="AA19" s="15">
        <f t="shared" si="4"/>
        <v>-1.9371032371539287</v>
      </c>
      <c r="AB19" s="8">
        <f t="shared" si="5"/>
        <v>0.62405729266049037</v>
      </c>
    </row>
    <row r="20" spans="1:28" x14ac:dyDescent="0.25">
      <c r="A20" t="s">
        <v>20</v>
      </c>
      <c r="B20" t="s">
        <v>62</v>
      </c>
      <c r="C20" t="s">
        <v>22</v>
      </c>
      <c r="D20" t="s">
        <v>57</v>
      </c>
      <c r="E20" t="s">
        <v>58</v>
      </c>
      <c r="I20">
        <v>7.6</v>
      </c>
      <c r="J20">
        <v>55</v>
      </c>
      <c r="K20">
        <v>2.9</v>
      </c>
      <c r="M20">
        <f t="shared" si="0"/>
        <v>0.46239799789895608</v>
      </c>
      <c r="N20" s="15">
        <f t="shared" si="1"/>
        <v>0.57822608190931346</v>
      </c>
      <c r="O20" t="s">
        <v>26</v>
      </c>
      <c r="P20">
        <v>2011</v>
      </c>
      <c r="Q20" t="s">
        <v>59</v>
      </c>
      <c r="R20" t="s">
        <v>63</v>
      </c>
      <c r="T20">
        <f t="shared" si="6"/>
        <v>85</v>
      </c>
      <c r="U20" s="15">
        <f t="shared" si="2"/>
        <v>-5.2046935675158181</v>
      </c>
      <c r="V20" s="8">
        <f t="shared" si="3"/>
        <v>-4.3130569493622222</v>
      </c>
      <c r="Z20">
        <f t="shared" si="7"/>
        <v>85</v>
      </c>
      <c r="AA20" s="15">
        <f t="shared" si="4"/>
        <v>-2.5002127559918321</v>
      </c>
      <c r="AB20" s="8">
        <f t="shared" si="5"/>
        <v>6.0947773822586981E-2</v>
      </c>
    </row>
    <row r="21" spans="1:28" x14ac:dyDescent="0.25">
      <c r="A21" t="s">
        <v>20</v>
      </c>
      <c r="B21" t="s">
        <v>62</v>
      </c>
      <c r="C21" t="s">
        <v>22</v>
      </c>
      <c r="D21" t="s">
        <v>57</v>
      </c>
      <c r="E21" t="s">
        <v>58</v>
      </c>
      <c r="I21">
        <v>7.6</v>
      </c>
      <c r="J21">
        <v>56.7</v>
      </c>
      <c r="K21">
        <v>1.4</v>
      </c>
      <c r="M21">
        <f t="shared" si="0"/>
        <v>0.14612803567823801</v>
      </c>
      <c r="N21" s="15">
        <f t="shared" si="1"/>
        <v>0.25052730177522209</v>
      </c>
      <c r="O21" t="s">
        <v>26</v>
      </c>
      <c r="P21">
        <v>2011</v>
      </c>
      <c r="Q21" t="s">
        <v>59</v>
      </c>
      <c r="R21" t="s">
        <v>63</v>
      </c>
      <c r="T21">
        <f t="shared" si="6"/>
        <v>90</v>
      </c>
      <c r="U21" s="15">
        <f t="shared" si="2"/>
        <v>-6.1685135090866732</v>
      </c>
      <c r="V21" s="8">
        <f t="shared" si="3"/>
        <v>-5.2768768909330772</v>
      </c>
      <c r="Z21">
        <f t="shared" si="7"/>
        <v>90</v>
      </c>
      <c r="AA21" s="15">
        <f t="shared" si="4"/>
        <v>-3.0633222748297348</v>
      </c>
      <c r="AB21" s="8">
        <f t="shared" si="5"/>
        <v>-0.50216174501531574</v>
      </c>
    </row>
    <row r="22" spans="1:28" x14ac:dyDescent="0.25">
      <c r="A22" t="s">
        <v>20</v>
      </c>
      <c r="B22" t="s">
        <v>62</v>
      </c>
      <c r="C22" t="s">
        <v>22</v>
      </c>
      <c r="D22" t="s">
        <v>57</v>
      </c>
      <c r="E22" t="s">
        <v>58</v>
      </c>
      <c r="I22">
        <v>7.6</v>
      </c>
      <c r="J22">
        <v>57</v>
      </c>
      <c r="K22">
        <v>0.8</v>
      </c>
      <c r="M22">
        <f t="shared" si="0"/>
        <v>-9.6910013008056392E-2</v>
      </c>
      <c r="N22" s="15">
        <f t="shared" si="1"/>
        <v>0.19269810528097153</v>
      </c>
      <c r="O22" t="s">
        <v>26</v>
      </c>
      <c r="P22">
        <v>2011</v>
      </c>
      <c r="Q22" t="s">
        <v>59</v>
      </c>
      <c r="R22" t="s">
        <v>63</v>
      </c>
      <c r="T22">
        <f t="shared" si="6"/>
        <v>95</v>
      </c>
      <c r="U22" s="15">
        <f t="shared" si="2"/>
        <v>-7.1323334506575282</v>
      </c>
      <c r="V22" s="8">
        <f t="shared" si="3"/>
        <v>-6.2406968325039323</v>
      </c>
      <c r="Z22">
        <f t="shared" si="7"/>
        <v>95</v>
      </c>
      <c r="AA22" s="15">
        <f t="shared" si="4"/>
        <v>-3.626431793667638</v>
      </c>
      <c r="AB22" s="8">
        <f t="shared" si="5"/>
        <v>-1.0652712638532189</v>
      </c>
    </row>
    <row r="23" spans="1:28" x14ac:dyDescent="0.25">
      <c r="A23" t="s">
        <v>20</v>
      </c>
      <c r="B23" t="s">
        <v>62</v>
      </c>
      <c r="C23" t="s">
        <v>22</v>
      </c>
      <c r="D23" t="s">
        <v>57</v>
      </c>
      <c r="E23" t="s">
        <v>58</v>
      </c>
      <c r="I23">
        <v>7.6</v>
      </c>
      <c r="J23">
        <v>58</v>
      </c>
      <c r="K23">
        <v>0.7</v>
      </c>
      <c r="M23">
        <f t="shared" si="0"/>
        <v>-0.15490195998574319</v>
      </c>
      <c r="N23" s="15">
        <f t="shared" si="1"/>
        <v>-6.5883033199654051E-5</v>
      </c>
      <c r="O23" t="s">
        <v>26</v>
      </c>
      <c r="P23">
        <v>2011</v>
      </c>
      <c r="Q23" t="s">
        <v>59</v>
      </c>
      <c r="R23" t="s">
        <v>63</v>
      </c>
      <c r="T23">
        <f t="shared" si="6"/>
        <v>100</v>
      </c>
      <c r="U23" s="15">
        <f t="shared" si="2"/>
        <v>-8.0961533922283841</v>
      </c>
      <c r="V23" s="8">
        <f t="shared" si="3"/>
        <v>-7.2045167740747882</v>
      </c>
      <c r="Z23">
        <f t="shared" si="7"/>
        <v>100</v>
      </c>
      <c r="AA23" s="15">
        <f t="shared" si="4"/>
        <v>-4.1895413125055416</v>
      </c>
      <c r="AB23" s="8">
        <f t="shared" si="5"/>
        <v>-1.6283807826911225</v>
      </c>
    </row>
    <row r="24" spans="1:28" x14ac:dyDescent="0.25">
      <c r="A24" t="s">
        <v>20</v>
      </c>
      <c r="B24" t="s">
        <v>62</v>
      </c>
      <c r="C24" t="s">
        <v>22</v>
      </c>
      <c r="D24" t="s">
        <v>57</v>
      </c>
      <c r="E24" t="s">
        <v>58</v>
      </c>
      <c r="I24">
        <v>7.6</v>
      </c>
      <c r="J24">
        <v>59</v>
      </c>
      <c r="K24">
        <v>0.7</v>
      </c>
      <c r="M24">
        <f t="shared" si="0"/>
        <v>-0.15490195998574319</v>
      </c>
      <c r="N24" s="15">
        <f t="shared" si="1"/>
        <v>-0.1928298713473704</v>
      </c>
      <c r="O24" t="s">
        <v>26</v>
      </c>
      <c r="P24">
        <v>2011</v>
      </c>
      <c r="Q24" t="s">
        <v>59</v>
      </c>
      <c r="R24" t="s">
        <v>63</v>
      </c>
      <c r="T24">
        <f t="shared" si="6"/>
        <v>105</v>
      </c>
      <c r="U24" s="15">
        <f t="shared" si="2"/>
        <v>-9.0599733337992383</v>
      </c>
      <c r="V24" s="8">
        <f t="shared" si="3"/>
        <v>-8.1683367156456423</v>
      </c>
      <c r="Z24">
        <f t="shared" si="7"/>
        <v>105</v>
      </c>
      <c r="AA24" s="15">
        <f t="shared" si="4"/>
        <v>-4.7526508313434439</v>
      </c>
      <c r="AB24" s="8">
        <f t="shared" si="5"/>
        <v>-2.1914903015290248</v>
      </c>
    </row>
    <row r="25" spans="1:28" x14ac:dyDescent="0.25">
      <c r="A25" t="s">
        <v>20</v>
      </c>
      <c r="B25" t="s">
        <v>62</v>
      </c>
      <c r="C25" t="s">
        <v>22</v>
      </c>
      <c r="D25" t="s">
        <v>57</v>
      </c>
      <c r="E25" t="s">
        <v>58</v>
      </c>
      <c r="I25">
        <v>7.6</v>
      </c>
      <c r="J25">
        <v>60</v>
      </c>
      <c r="K25">
        <v>0.5</v>
      </c>
      <c r="M25">
        <f t="shared" si="0"/>
        <v>-0.3010299956639812</v>
      </c>
      <c r="N25" s="15">
        <f t="shared" si="1"/>
        <v>-0.38559385966154158</v>
      </c>
      <c r="O25" t="s">
        <v>26</v>
      </c>
      <c r="P25">
        <v>2011</v>
      </c>
      <c r="Q25" t="s">
        <v>59</v>
      </c>
      <c r="R25" t="s">
        <v>63</v>
      </c>
      <c r="T25">
        <f t="shared" si="6"/>
        <v>110</v>
      </c>
      <c r="U25" s="15">
        <f t="shared" si="2"/>
        <v>-10.023793275370094</v>
      </c>
      <c r="V25" s="8">
        <f t="shared" si="3"/>
        <v>-9.1321566572164983</v>
      </c>
      <c r="Z25">
        <f t="shared" si="7"/>
        <v>110</v>
      </c>
      <c r="AA25" s="15">
        <f t="shared" si="4"/>
        <v>-5.3157603501813471</v>
      </c>
      <c r="AB25" s="8">
        <f t="shared" si="5"/>
        <v>-2.754599820366928</v>
      </c>
    </row>
    <row r="26" spans="1:28" x14ac:dyDescent="0.25">
      <c r="A26" t="s">
        <v>20</v>
      </c>
      <c r="B26" t="s">
        <v>64</v>
      </c>
      <c r="C26" t="s">
        <v>22</v>
      </c>
      <c r="D26" t="s">
        <v>65</v>
      </c>
      <c r="E26" t="s">
        <v>65</v>
      </c>
      <c r="J26">
        <v>55</v>
      </c>
      <c r="K26">
        <f>1/0.078</f>
        <v>12.820512820512821</v>
      </c>
      <c r="M26">
        <f t="shared" si="0"/>
        <v>1.1079053973095196</v>
      </c>
      <c r="N26" s="15">
        <f t="shared" si="1"/>
        <v>0.57822608190931346</v>
      </c>
      <c r="O26" t="s">
        <v>66</v>
      </c>
      <c r="P26">
        <v>2010</v>
      </c>
      <c r="Q26" t="s">
        <v>67</v>
      </c>
      <c r="R26" t="s">
        <v>68</v>
      </c>
      <c r="T26">
        <f t="shared" si="6"/>
        <v>115</v>
      </c>
      <c r="U26" s="15">
        <f t="shared" si="2"/>
        <v>-10.987613216940948</v>
      </c>
      <c r="V26" s="8">
        <f t="shared" si="3"/>
        <v>-10.095976598787352</v>
      </c>
      <c r="Z26">
        <f t="shared" si="7"/>
        <v>115</v>
      </c>
      <c r="AA26" s="15">
        <f t="shared" si="4"/>
        <v>-5.8788698690192502</v>
      </c>
      <c r="AB26" s="8">
        <f t="shared" si="5"/>
        <v>-3.3177093392048311</v>
      </c>
    </row>
    <row r="27" spans="1:28" x14ac:dyDescent="0.25">
      <c r="A27" t="s">
        <v>20</v>
      </c>
      <c r="B27" t="s">
        <v>64</v>
      </c>
      <c r="C27" t="s">
        <v>22</v>
      </c>
      <c r="D27" t="s">
        <v>65</v>
      </c>
      <c r="E27" t="s">
        <v>65</v>
      </c>
      <c r="J27">
        <v>55</v>
      </c>
      <c r="K27">
        <f>1/0.093</f>
        <v>10.75268817204301</v>
      </c>
      <c r="M27">
        <f t="shared" si="0"/>
        <v>1.0315170514460648</v>
      </c>
      <c r="N27" s="15">
        <f t="shared" si="1"/>
        <v>0.57822608190931346</v>
      </c>
      <c r="O27" t="s">
        <v>66</v>
      </c>
      <c r="P27">
        <v>2010</v>
      </c>
      <c r="Q27" t="s">
        <v>67</v>
      </c>
      <c r="R27" t="s">
        <v>68</v>
      </c>
      <c r="T27">
        <f t="shared" si="6"/>
        <v>120</v>
      </c>
      <c r="U27" s="15">
        <f t="shared" si="2"/>
        <v>-11.951433158511804</v>
      </c>
      <c r="V27" s="8">
        <f t="shared" si="3"/>
        <v>-11.059796540358208</v>
      </c>
      <c r="Z27">
        <f t="shared" si="7"/>
        <v>120</v>
      </c>
      <c r="AA27" s="15">
        <f t="shared" si="4"/>
        <v>-6.4419793878571534</v>
      </c>
      <c r="AB27" s="8">
        <f t="shared" si="5"/>
        <v>-3.8808188580427343</v>
      </c>
    </row>
    <row r="28" spans="1:28" x14ac:dyDescent="0.25">
      <c r="A28" t="s">
        <v>20</v>
      </c>
      <c r="B28" t="s">
        <v>64</v>
      </c>
      <c r="C28" t="s">
        <v>22</v>
      </c>
      <c r="D28" t="s">
        <v>65</v>
      </c>
      <c r="E28" t="s">
        <v>65</v>
      </c>
      <c r="J28">
        <v>55</v>
      </c>
      <c r="K28">
        <f>1/0.072</f>
        <v>13.888888888888889</v>
      </c>
      <c r="M28">
        <f t="shared" si="0"/>
        <v>1.1426675035687315</v>
      </c>
      <c r="N28" s="15">
        <f t="shared" si="1"/>
        <v>0.57822608190931346</v>
      </c>
      <c r="O28" t="s">
        <v>66</v>
      </c>
      <c r="P28">
        <v>2010</v>
      </c>
      <c r="Q28" t="s">
        <v>67</v>
      </c>
      <c r="R28" t="s">
        <v>68</v>
      </c>
    </row>
    <row r="29" spans="1:28" x14ac:dyDescent="0.25">
      <c r="A29" t="s">
        <v>20</v>
      </c>
      <c r="B29" t="s">
        <v>64</v>
      </c>
      <c r="C29" t="s">
        <v>22</v>
      </c>
      <c r="D29" t="s">
        <v>65</v>
      </c>
      <c r="E29" t="s">
        <v>65</v>
      </c>
      <c r="J29">
        <v>55</v>
      </c>
      <c r="K29">
        <f>1/0.075</f>
        <v>13.333333333333334</v>
      </c>
      <c r="M29">
        <f t="shared" si="0"/>
        <v>1.1249387366082999</v>
      </c>
      <c r="N29" s="15">
        <f t="shared" si="1"/>
        <v>0.57822608190931346</v>
      </c>
      <c r="O29" t="s">
        <v>66</v>
      </c>
      <c r="P29">
        <v>2010</v>
      </c>
      <c r="Q29" t="s">
        <v>67</v>
      </c>
      <c r="R29" t="s">
        <v>68</v>
      </c>
    </row>
    <row r="30" spans="1:28" x14ac:dyDescent="0.25">
      <c r="A30" t="s">
        <v>20</v>
      </c>
      <c r="B30" t="s">
        <v>64</v>
      </c>
      <c r="C30" t="s">
        <v>22</v>
      </c>
      <c r="D30" t="s">
        <v>65</v>
      </c>
      <c r="E30" t="s">
        <v>65</v>
      </c>
      <c r="J30">
        <v>55</v>
      </c>
      <c r="K30">
        <f>1/0.12</f>
        <v>8.3333333333333339</v>
      </c>
      <c r="M30">
        <f t="shared" si="0"/>
        <v>0.92081875395237522</v>
      </c>
      <c r="N30" s="15">
        <f t="shared" si="1"/>
        <v>0.57822608190931346</v>
      </c>
      <c r="O30" t="s">
        <v>66</v>
      </c>
      <c r="P30">
        <v>2010</v>
      </c>
      <c r="Q30" t="s">
        <v>67</v>
      </c>
      <c r="R30" t="s">
        <v>68</v>
      </c>
    </row>
    <row r="31" spans="1:28" x14ac:dyDescent="0.25">
      <c r="A31" t="s">
        <v>20</v>
      </c>
      <c r="B31" t="s">
        <v>64</v>
      </c>
      <c r="C31" t="s">
        <v>22</v>
      </c>
      <c r="D31" t="s">
        <v>65</v>
      </c>
      <c r="E31" t="s">
        <v>65</v>
      </c>
      <c r="J31">
        <v>55</v>
      </c>
      <c r="K31">
        <f>1/0.115</f>
        <v>8.695652173913043</v>
      </c>
      <c r="M31">
        <f t="shared" si="0"/>
        <v>0.9393021596463883</v>
      </c>
      <c r="N31" s="15">
        <f t="shared" si="1"/>
        <v>0.57822608190931346</v>
      </c>
      <c r="O31" t="s">
        <v>66</v>
      </c>
      <c r="P31">
        <v>2010</v>
      </c>
      <c r="Q31" t="s">
        <v>67</v>
      </c>
      <c r="R31" t="s">
        <v>68</v>
      </c>
    </row>
    <row r="32" spans="1:28" x14ac:dyDescent="0.25">
      <c r="A32" t="s">
        <v>20</v>
      </c>
      <c r="B32" t="s">
        <v>64</v>
      </c>
      <c r="C32" t="s">
        <v>22</v>
      </c>
      <c r="D32" t="s">
        <v>65</v>
      </c>
      <c r="E32" t="s">
        <v>65</v>
      </c>
      <c r="J32">
        <v>55</v>
      </c>
      <c r="K32">
        <f>1/0.125</f>
        <v>8</v>
      </c>
      <c r="M32">
        <f t="shared" si="0"/>
        <v>0.90308998699194354</v>
      </c>
      <c r="N32" s="15">
        <f t="shared" si="1"/>
        <v>0.57822608190931346</v>
      </c>
      <c r="O32" t="s">
        <v>66</v>
      </c>
      <c r="P32">
        <v>2010</v>
      </c>
      <c r="Q32" t="s">
        <v>67</v>
      </c>
      <c r="R32" t="s">
        <v>68</v>
      </c>
    </row>
    <row r="33" spans="1:18" x14ac:dyDescent="0.25">
      <c r="A33" t="s">
        <v>20</v>
      </c>
      <c r="B33" t="s">
        <v>69</v>
      </c>
      <c r="D33" t="s">
        <v>70</v>
      </c>
      <c r="E33" t="s">
        <v>70</v>
      </c>
      <c r="J33">
        <v>50</v>
      </c>
      <c r="K33">
        <f>10/1</f>
        <v>10</v>
      </c>
      <c r="M33">
        <f t="shared" si="0"/>
        <v>1</v>
      </c>
      <c r="N33" s="15">
        <f t="shared" si="1"/>
        <v>1.5420460234801689</v>
      </c>
      <c r="O33" t="s">
        <v>71</v>
      </c>
      <c r="P33">
        <v>2007</v>
      </c>
      <c r="Q33" t="s">
        <v>72</v>
      </c>
      <c r="R33" t="s">
        <v>73</v>
      </c>
    </row>
    <row r="34" spans="1:18" x14ac:dyDescent="0.25">
      <c r="A34" t="s">
        <v>20</v>
      </c>
      <c r="B34" t="s">
        <v>69</v>
      </c>
      <c r="D34" t="s">
        <v>70</v>
      </c>
      <c r="E34" t="s">
        <v>70</v>
      </c>
      <c r="J34">
        <v>63</v>
      </c>
      <c r="K34">
        <f>(90/60)/4</f>
        <v>0.375</v>
      </c>
      <c r="M34">
        <f t="shared" si="0"/>
        <v>-0.42596873227228116</v>
      </c>
      <c r="N34" s="15">
        <f t="shared" si="1"/>
        <v>-0.9638858246040547</v>
      </c>
      <c r="O34" t="s">
        <v>71</v>
      </c>
      <c r="P34">
        <v>2007</v>
      </c>
      <c r="Q34" t="s">
        <v>72</v>
      </c>
      <c r="R34" t="s">
        <v>73</v>
      </c>
    </row>
    <row r="35" spans="1:18" x14ac:dyDescent="0.25">
      <c r="A35" t="s">
        <v>20</v>
      </c>
      <c r="B35" t="s">
        <v>69</v>
      </c>
      <c r="D35" t="s">
        <v>70</v>
      </c>
      <c r="E35" t="s">
        <v>74</v>
      </c>
      <c r="J35">
        <v>50</v>
      </c>
      <c r="K35">
        <f>15/1.9</f>
        <v>7.8947368421052637</v>
      </c>
      <c r="M35">
        <f t="shared" si="0"/>
        <v>0.89733765810285226</v>
      </c>
      <c r="N35" s="15">
        <f t="shared" si="1"/>
        <v>1.5420460234801689</v>
      </c>
      <c r="O35" t="s">
        <v>71</v>
      </c>
      <c r="P35">
        <v>2007</v>
      </c>
      <c r="Q35" t="s">
        <v>72</v>
      </c>
      <c r="R35" t="s">
        <v>73</v>
      </c>
    </row>
    <row r="36" spans="1:18" x14ac:dyDescent="0.25">
      <c r="A36" t="s">
        <v>20</v>
      </c>
      <c r="B36" t="s">
        <v>69</v>
      </c>
      <c r="D36" t="s">
        <v>70</v>
      </c>
      <c r="E36" t="s">
        <v>74</v>
      </c>
      <c r="J36">
        <v>55</v>
      </c>
      <c r="K36">
        <f>10/2.9</f>
        <v>3.4482758620689657</v>
      </c>
      <c r="M36">
        <f t="shared" si="0"/>
        <v>0.53760200210104392</v>
      </c>
      <c r="N36" s="15">
        <f t="shared" si="1"/>
        <v>0.57822608190931346</v>
      </c>
      <c r="O36" t="s">
        <v>71</v>
      </c>
      <c r="P36">
        <v>2007</v>
      </c>
      <c r="Q36" t="s">
        <v>72</v>
      </c>
      <c r="R36" t="s">
        <v>73</v>
      </c>
    </row>
    <row r="37" spans="1:18" x14ac:dyDescent="0.25">
      <c r="A37" t="s">
        <v>20</v>
      </c>
      <c r="B37" t="s">
        <v>69</v>
      </c>
      <c r="D37" t="s">
        <v>70</v>
      </c>
      <c r="E37" t="s">
        <v>74</v>
      </c>
      <c r="J37">
        <v>58</v>
      </c>
      <c r="K37">
        <f>2/2.9</f>
        <v>0.68965517241379315</v>
      </c>
      <c r="M37">
        <f t="shared" si="0"/>
        <v>-0.16136800223497486</v>
      </c>
      <c r="N37" s="15">
        <f t="shared" si="1"/>
        <v>-6.5883033199654051E-5</v>
      </c>
      <c r="O37" t="s">
        <v>71</v>
      </c>
      <c r="P37">
        <v>2007</v>
      </c>
      <c r="Q37" t="s">
        <v>72</v>
      </c>
      <c r="R37" t="s">
        <v>73</v>
      </c>
    </row>
    <row r="38" spans="1:18" x14ac:dyDescent="0.25">
      <c r="A38" t="s">
        <v>20</v>
      </c>
      <c r="B38" t="s">
        <v>69</v>
      </c>
      <c r="D38" t="s">
        <v>70</v>
      </c>
      <c r="E38" t="s">
        <v>74</v>
      </c>
      <c r="J38">
        <v>60</v>
      </c>
      <c r="K38">
        <f>2/3.9</f>
        <v>0.51282051282051289</v>
      </c>
      <c r="M38">
        <f t="shared" si="0"/>
        <v>-0.29003461136251796</v>
      </c>
      <c r="N38" s="15">
        <f t="shared" si="1"/>
        <v>-0.38559385966154158</v>
      </c>
      <c r="O38" t="s">
        <v>71</v>
      </c>
      <c r="P38">
        <v>2007</v>
      </c>
      <c r="Q38" t="s">
        <v>72</v>
      </c>
      <c r="R38" t="s">
        <v>73</v>
      </c>
    </row>
    <row r="39" spans="1:18" x14ac:dyDescent="0.25">
      <c r="A39" t="s">
        <v>20</v>
      </c>
      <c r="B39" t="s">
        <v>69</v>
      </c>
      <c r="D39" t="s">
        <v>70</v>
      </c>
      <c r="E39" t="s">
        <v>74</v>
      </c>
      <c r="J39">
        <v>63</v>
      </c>
      <c r="K39">
        <f>1.5/4</f>
        <v>0.375</v>
      </c>
      <c r="M39">
        <f t="shared" si="0"/>
        <v>-0.42596873227228116</v>
      </c>
      <c r="N39" s="15">
        <f t="shared" si="1"/>
        <v>-0.9638858246040547</v>
      </c>
      <c r="O39" t="s">
        <v>71</v>
      </c>
      <c r="P39">
        <v>2007</v>
      </c>
      <c r="Q39" t="s">
        <v>72</v>
      </c>
      <c r="R39" t="s">
        <v>73</v>
      </c>
    </row>
    <row r="40" spans="1:18" x14ac:dyDescent="0.25">
      <c r="A40" t="s">
        <v>20</v>
      </c>
      <c r="B40" t="s">
        <v>69</v>
      </c>
      <c r="D40" t="s">
        <v>75</v>
      </c>
      <c r="E40" t="s">
        <v>76</v>
      </c>
      <c r="J40">
        <v>50</v>
      </c>
      <c r="K40">
        <f>15/1.6</f>
        <v>9.375</v>
      </c>
      <c r="M40">
        <f t="shared" si="0"/>
        <v>0.97197127639975645</v>
      </c>
      <c r="N40" s="15">
        <f t="shared" si="1"/>
        <v>1.5420460234801689</v>
      </c>
      <c r="O40" t="s">
        <v>71</v>
      </c>
      <c r="P40">
        <v>2007</v>
      </c>
      <c r="Q40" t="s">
        <v>72</v>
      </c>
      <c r="R40" t="s">
        <v>73</v>
      </c>
    </row>
    <row r="41" spans="1:18" x14ac:dyDescent="0.25">
      <c r="A41" t="s">
        <v>20</v>
      </c>
      <c r="B41" t="s">
        <v>69</v>
      </c>
      <c r="D41" t="s">
        <v>75</v>
      </c>
      <c r="E41" t="s">
        <v>76</v>
      </c>
      <c r="J41">
        <v>55</v>
      </c>
      <c r="K41">
        <f>10/3</f>
        <v>3.3333333333333335</v>
      </c>
      <c r="M41">
        <f t="shared" si="0"/>
        <v>0.52287874528033762</v>
      </c>
      <c r="N41" s="15">
        <f t="shared" si="1"/>
        <v>0.57822608190931346</v>
      </c>
      <c r="O41" t="s">
        <v>71</v>
      </c>
      <c r="P41">
        <v>2007</v>
      </c>
      <c r="Q41" t="s">
        <v>72</v>
      </c>
      <c r="R41" t="s">
        <v>73</v>
      </c>
    </row>
    <row r="42" spans="1:18" x14ac:dyDescent="0.25">
      <c r="A42" t="s">
        <v>20</v>
      </c>
      <c r="B42" t="s">
        <v>69</v>
      </c>
      <c r="D42" t="s">
        <v>75</v>
      </c>
      <c r="E42" t="s">
        <v>76</v>
      </c>
      <c r="J42">
        <v>58</v>
      </c>
      <c r="K42">
        <f>3/2.6</f>
        <v>1.1538461538461537</v>
      </c>
      <c r="M42">
        <f t="shared" si="0"/>
        <v>6.2147906748844434E-2</v>
      </c>
      <c r="N42" s="15">
        <f t="shared" si="1"/>
        <v>-6.5883033199654051E-5</v>
      </c>
      <c r="O42" t="s">
        <v>71</v>
      </c>
      <c r="P42">
        <v>2007</v>
      </c>
      <c r="Q42" t="s">
        <v>72</v>
      </c>
      <c r="R42" t="s">
        <v>73</v>
      </c>
    </row>
    <row r="43" spans="1:18" x14ac:dyDescent="0.25">
      <c r="A43" t="s">
        <v>20</v>
      </c>
      <c r="B43" t="s">
        <v>69</v>
      </c>
      <c r="D43" t="s">
        <v>75</v>
      </c>
      <c r="E43" t="s">
        <v>76</v>
      </c>
      <c r="J43">
        <v>60</v>
      </c>
      <c r="K43">
        <f>3/4.4</f>
        <v>0.68181818181818177</v>
      </c>
      <c r="M43">
        <f t="shared" si="0"/>
        <v>-0.16633142176652502</v>
      </c>
      <c r="N43" s="15">
        <f t="shared" si="1"/>
        <v>-0.38559385966154158</v>
      </c>
      <c r="O43" t="s">
        <v>71</v>
      </c>
      <c r="P43">
        <v>2007</v>
      </c>
      <c r="Q43" t="s">
        <v>72</v>
      </c>
      <c r="R43" t="s">
        <v>73</v>
      </c>
    </row>
    <row r="44" spans="1:18" x14ac:dyDescent="0.25">
      <c r="A44" t="s">
        <v>20</v>
      </c>
      <c r="B44" t="s">
        <v>69</v>
      </c>
      <c r="D44" t="s">
        <v>75</v>
      </c>
      <c r="E44" t="s">
        <v>76</v>
      </c>
      <c r="J44">
        <v>63</v>
      </c>
      <c r="K44">
        <f>1.5/4.9</f>
        <v>0.30612244897959179</v>
      </c>
      <c r="M44">
        <f t="shared" si="0"/>
        <v>-0.5141048209728325</v>
      </c>
      <c r="N44" s="15">
        <f t="shared" si="1"/>
        <v>-0.9638858246040547</v>
      </c>
      <c r="O44" t="s">
        <v>71</v>
      </c>
      <c r="P44">
        <v>2007</v>
      </c>
      <c r="Q44" t="s">
        <v>72</v>
      </c>
      <c r="R44" t="s">
        <v>73</v>
      </c>
    </row>
    <row r="45" spans="1:18" x14ac:dyDescent="0.25">
      <c r="A45" t="s">
        <v>20</v>
      </c>
      <c r="B45" t="s">
        <v>77</v>
      </c>
      <c r="D45" t="s">
        <v>75</v>
      </c>
      <c r="E45" t="s">
        <v>78</v>
      </c>
      <c r="J45">
        <v>57</v>
      </c>
      <c r="K45">
        <f>267.6/60</f>
        <v>4.46</v>
      </c>
      <c r="M45">
        <f t="shared" si="0"/>
        <v>0.64933485871214192</v>
      </c>
      <c r="N45" s="15">
        <f t="shared" si="1"/>
        <v>0.19269810528097153</v>
      </c>
      <c r="O45" t="s">
        <v>79</v>
      </c>
      <c r="P45">
        <v>2008</v>
      </c>
      <c r="Q45" t="s">
        <v>80</v>
      </c>
      <c r="R45" t="s">
        <v>81</v>
      </c>
    </row>
    <row r="46" spans="1:18" x14ac:dyDescent="0.25">
      <c r="A46" t="s">
        <v>20</v>
      </c>
      <c r="B46" t="s">
        <v>77</v>
      </c>
      <c r="D46" t="s">
        <v>75</v>
      </c>
      <c r="E46" t="s">
        <v>78</v>
      </c>
      <c r="J46">
        <v>58</v>
      </c>
      <c r="K46">
        <f>141.5/60</f>
        <v>2.3583333333333334</v>
      </c>
      <c r="M46">
        <f t="shared" si="0"/>
        <v>0.37260518947666543</v>
      </c>
      <c r="N46" s="15">
        <f t="shared" si="1"/>
        <v>-6.5883033199654051E-5</v>
      </c>
      <c r="O46" t="s">
        <v>79</v>
      </c>
      <c r="P46">
        <v>2008</v>
      </c>
      <c r="Q46" t="s">
        <v>80</v>
      </c>
      <c r="R46" t="s">
        <v>81</v>
      </c>
    </row>
    <row r="47" spans="1:18" x14ac:dyDescent="0.25">
      <c r="A47" t="s">
        <v>20</v>
      </c>
      <c r="B47" t="s">
        <v>77</v>
      </c>
      <c r="D47" t="s">
        <v>75</v>
      </c>
      <c r="E47" t="s">
        <v>78</v>
      </c>
      <c r="J47">
        <v>59</v>
      </c>
      <c r="K47">
        <f>81.4/60</f>
        <v>1.3566666666666667</v>
      </c>
      <c r="M47">
        <f t="shared" si="0"/>
        <v>0.13247315450555761</v>
      </c>
      <c r="N47" s="15">
        <f t="shared" si="1"/>
        <v>-0.1928298713473704</v>
      </c>
      <c r="O47" t="s">
        <v>79</v>
      </c>
      <c r="P47">
        <v>2008</v>
      </c>
      <c r="Q47" t="s">
        <v>80</v>
      </c>
      <c r="R47" t="s">
        <v>81</v>
      </c>
    </row>
    <row r="48" spans="1:18" x14ac:dyDescent="0.25">
      <c r="A48" t="s">
        <v>20</v>
      </c>
      <c r="B48" t="s">
        <v>77</v>
      </c>
      <c r="D48" t="s">
        <v>75</v>
      </c>
      <c r="E48" t="s">
        <v>78</v>
      </c>
      <c r="J48">
        <v>60</v>
      </c>
      <c r="K48">
        <f>63.4/60</f>
        <v>1.0566666666666666</v>
      </c>
      <c r="M48">
        <f t="shared" si="0"/>
        <v>2.3938007498089046E-2</v>
      </c>
      <c r="N48" s="15">
        <f t="shared" si="1"/>
        <v>-0.38559385966154158</v>
      </c>
      <c r="O48" t="s">
        <v>79</v>
      </c>
      <c r="P48">
        <v>2008</v>
      </c>
      <c r="Q48" t="s">
        <v>80</v>
      </c>
      <c r="R48" t="s">
        <v>81</v>
      </c>
    </row>
    <row r="49" spans="1:18" x14ac:dyDescent="0.25">
      <c r="A49" t="s">
        <v>20</v>
      </c>
      <c r="B49" t="s">
        <v>77</v>
      </c>
      <c r="D49" t="s">
        <v>75</v>
      </c>
      <c r="E49" t="s">
        <v>78</v>
      </c>
      <c r="J49">
        <v>61</v>
      </c>
      <c r="K49">
        <f>23.6/60</f>
        <v>0.39333333333333337</v>
      </c>
      <c r="M49">
        <f t="shared" ref="M49:M73" si="8">LOG10(K49)</f>
        <v>-0.40523924741353701</v>
      </c>
      <c r="N49" s="15">
        <f t="shared" si="1"/>
        <v>-0.57835784797571277</v>
      </c>
      <c r="O49" t="s">
        <v>79</v>
      </c>
      <c r="P49">
        <v>2008</v>
      </c>
      <c r="Q49" t="s">
        <v>80</v>
      </c>
      <c r="R49" t="s">
        <v>81</v>
      </c>
    </row>
    <row r="50" spans="1:18" x14ac:dyDescent="0.25">
      <c r="A50" t="s">
        <v>20</v>
      </c>
      <c r="B50" t="s">
        <v>82</v>
      </c>
      <c r="D50" t="s">
        <v>83</v>
      </c>
      <c r="E50" t="s">
        <v>54</v>
      </c>
      <c r="J50">
        <v>55</v>
      </c>
      <c r="K50">
        <f>401.1/60</f>
        <v>6.6850000000000005</v>
      </c>
      <c r="M50">
        <f t="shared" si="8"/>
        <v>0.82510141159800321</v>
      </c>
      <c r="N50" s="15">
        <f t="shared" si="1"/>
        <v>0.57822608190931346</v>
      </c>
      <c r="O50" t="s">
        <v>84</v>
      </c>
      <c r="P50">
        <v>2004</v>
      </c>
      <c r="Q50" t="s">
        <v>85</v>
      </c>
      <c r="R50" t="s">
        <v>81</v>
      </c>
    </row>
    <row r="51" spans="1:18" x14ac:dyDescent="0.25">
      <c r="A51" t="s">
        <v>20</v>
      </c>
      <c r="B51" t="s">
        <v>82</v>
      </c>
      <c r="D51" t="s">
        <v>83</v>
      </c>
      <c r="J51">
        <v>57</v>
      </c>
      <c r="K51">
        <f>134.9/60</f>
        <v>2.2483333333333335</v>
      </c>
      <c r="M51">
        <f t="shared" si="8"/>
        <v>0.35186069928826064</v>
      </c>
      <c r="N51" s="15">
        <f t="shared" si="1"/>
        <v>0.19269810528097153</v>
      </c>
      <c r="O51" t="s">
        <v>84</v>
      </c>
      <c r="P51">
        <v>2004</v>
      </c>
      <c r="Q51" t="s">
        <v>85</v>
      </c>
      <c r="R51" t="s">
        <v>81</v>
      </c>
    </row>
    <row r="52" spans="1:18" x14ac:dyDescent="0.25">
      <c r="A52" t="s">
        <v>20</v>
      </c>
      <c r="B52" t="s">
        <v>82</v>
      </c>
      <c r="D52" t="s">
        <v>83</v>
      </c>
      <c r="J52">
        <v>59</v>
      </c>
      <c r="K52">
        <f>21.8/60</f>
        <v>0.36333333333333334</v>
      </c>
      <c r="M52">
        <f t="shared" si="8"/>
        <v>-0.4396947567790388</v>
      </c>
      <c r="N52" s="15">
        <f t="shared" si="1"/>
        <v>-0.1928298713473704</v>
      </c>
      <c r="O52" t="s">
        <v>84</v>
      </c>
      <c r="P52">
        <v>2004</v>
      </c>
      <c r="Q52" t="s">
        <v>85</v>
      </c>
      <c r="R52" t="s">
        <v>81</v>
      </c>
    </row>
    <row r="53" spans="1:18" x14ac:dyDescent="0.25">
      <c r="A53" t="s">
        <v>20</v>
      </c>
      <c r="B53" t="s">
        <v>82</v>
      </c>
      <c r="D53" t="s">
        <v>83</v>
      </c>
      <c r="E53" t="s">
        <v>86</v>
      </c>
      <c r="J53">
        <v>55</v>
      </c>
      <c r="K53">
        <f>396/60</f>
        <v>6.6</v>
      </c>
      <c r="M53">
        <f t="shared" si="8"/>
        <v>0.81954393554186866</v>
      </c>
      <c r="N53" s="15">
        <f t="shared" si="1"/>
        <v>0.57822608190931346</v>
      </c>
      <c r="O53" t="s">
        <v>84</v>
      </c>
      <c r="P53">
        <v>2004</v>
      </c>
      <c r="Q53" t="s">
        <v>85</v>
      </c>
      <c r="R53" t="s">
        <v>81</v>
      </c>
    </row>
    <row r="54" spans="1:18" x14ac:dyDescent="0.25">
      <c r="A54" t="s">
        <v>20</v>
      </c>
      <c r="B54" t="s">
        <v>82</v>
      </c>
      <c r="D54" t="s">
        <v>83</v>
      </c>
      <c r="J54">
        <v>57</v>
      </c>
      <c r="K54">
        <f>21.3/60</f>
        <v>0.35500000000000004</v>
      </c>
      <c r="M54">
        <f t="shared" si="8"/>
        <v>-0.44977164694490585</v>
      </c>
      <c r="N54" s="15">
        <f t="shared" si="1"/>
        <v>0.19269810528097153</v>
      </c>
      <c r="O54" t="s">
        <v>84</v>
      </c>
      <c r="P54">
        <v>2004</v>
      </c>
      <c r="Q54" t="s">
        <v>85</v>
      </c>
      <c r="R54" t="s">
        <v>81</v>
      </c>
    </row>
    <row r="55" spans="1:18" x14ac:dyDescent="0.25">
      <c r="A55" t="s">
        <v>20</v>
      </c>
      <c r="B55" t="s">
        <v>82</v>
      </c>
      <c r="D55" t="s">
        <v>83</v>
      </c>
      <c r="E55" t="s">
        <v>87</v>
      </c>
      <c r="J55">
        <v>55</v>
      </c>
      <c r="K55">
        <f>40.8/60</f>
        <v>0.67999999999999994</v>
      </c>
      <c r="M55">
        <f t="shared" si="8"/>
        <v>-0.16749108729376372</v>
      </c>
      <c r="N55" s="15">
        <f t="shared" si="1"/>
        <v>0.57822608190931346</v>
      </c>
      <c r="O55" t="s">
        <v>84</v>
      </c>
      <c r="P55">
        <v>2004</v>
      </c>
      <c r="Q55" t="s">
        <v>85</v>
      </c>
      <c r="R55" t="s">
        <v>81</v>
      </c>
    </row>
    <row r="56" spans="1:18" x14ac:dyDescent="0.25">
      <c r="A56" t="s">
        <v>20</v>
      </c>
      <c r="B56" t="s">
        <v>82</v>
      </c>
      <c r="D56" t="s">
        <v>83</v>
      </c>
      <c r="J56">
        <v>57</v>
      </c>
      <c r="K56">
        <f>22/60</f>
        <v>0.36666666666666664</v>
      </c>
      <c r="M56">
        <f t="shared" si="8"/>
        <v>-0.43572856956143741</v>
      </c>
      <c r="N56" s="15">
        <f t="shared" si="1"/>
        <v>0.19269810528097153</v>
      </c>
      <c r="O56" t="s">
        <v>84</v>
      </c>
      <c r="P56">
        <v>2004</v>
      </c>
      <c r="Q56" t="s">
        <v>85</v>
      </c>
      <c r="R56" t="s">
        <v>81</v>
      </c>
    </row>
    <row r="57" spans="1:18" x14ac:dyDescent="0.25">
      <c r="A57" t="s">
        <v>20</v>
      </c>
      <c r="B57" t="s">
        <v>88</v>
      </c>
      <c r="D57" t="s">
        <v>83</v>
      </c>
      <c r="E57" t="s">
        <v>54</v>
      </c>
      <c r="J57">
        <v>55</v>
      </c>
      <c r="K57">
        <f>643.8/60</f>
        <v>10.729999999999999</v>
      </c>
      <c r="M57">
        <f t="shared" si="8"/>
        <v>1.0305997219659511</v>
      </c>
      <c r="N57" s="15">
        <f t="shared" si="1"/>
        <v>0.57822608190931346</v>
      </c>
      <c r="O57" t="s">
        <v>84</v>
      </c>
      <c r="P57">
        <v>2004</v>
      </c>
      <c r="Q57" t="s">
        <v>85</v>
      </c>
      <c r="R57" t="s">
        <v>81</v>
      </c>
    </row>
    <row r="58" spans="1:18" x14ac:dyDescent="0.25">
      <c r="A58" t="s">
        <v>20</v>
      </c>
      <c r="B58" t="s">
        <v>88</v>
      </c>
      <c r="D58" t="s">
        <v>83</v>
      </c>
      <c r="J58">
        <v>57</v>
      </c>
      <c r="K58">
        <f>268.5/60</f>
        <v>4.4749999999999996</v>
      </c>
      <c r="M58">
        <f t="shared" si="8"/>
        <v>0.65079303965193069</v>
      </c>
      <c r="N58" s="15">
        <f t="shared" si="1"/>
        <v>0.19269810528097153</v>
      </c>
      <c r="O58" t="s">
        <v>84</v>
      </c>
      <c r="P58">
        <v>2004</v>
      </c>
      <c r="Q58" t="s">
        <v>85</v>
      </c>
      <c r="R58" t="s">
        <v>81</v>
      </c>
    </row>
    <row r="59" spans="1:18" x14ac:dyDescent="0.25">
      <c r="A59" t="s">
        <v>20</v>
      </c>
      <c r="B59" t="s">
        <v>88</v>
      </c>
      <c r="D59" t="s">
        <v>83</v>
      </c>
      <c r="J59">
        <v>59</v>
      </c>
      <c r="K59">
        <f>22.3/60</f>
        <v>0.3716666666666667</v>
      </c>
      <c r="M59">
        <f t="shared" si="8"/>
        <v>-0.42984638733548292</v>
      </c>
      <c r="N59" s="15">
        <f t="shared" si="1"/>
        <v>-0.1928298713473704</v>
      </c>
      <c r="O59" t="s">
        <v>84</v>
      </c>
      <c r="P59">
        <v>2004</v>
      </c>
      <c r="Q59" t="s">
        <v>85</v>
      </c>
      <c r="R59" t="s">
        <v>81</v>
      </c>
    </row>
    <row r="60" spans="1:18" x14ac:dyDescent="0.25">
      <c r="A60" t="s">
        <v>20</v>
      </c>
      <c r="B60" t="s">
        <v>88</v>
      </c>
      <c r="D60" t="s">
        <v>83</v>
      </c>
      <c r="E60" t="s">
        <v>86</v>
      </c>
      <c r="J60">
        <v>55</v>
      </c>
      <c r="K60">
        <f>256.7/60</f>
        <v>4.2783333333333333</v>
      </c>
      <c r="M60">
        <f t="shared" si="8"/>
        <v>0.63127461828779974</v>
      </c>
      <c r="N60" s="15">
        <f t="shared" si="1"/>
        <v>0.57822608190931346</v>
      </c>
      <c r="O60" t="s">
        <v>84</v>
      </c>
      <c r="P60">
        <v>2004</v>
      </c>
      <c r="Q60" t="s">
        <v>85</v>
      </c>
      <c r="R60" t="s">
        <v>81</v>
      </c>
    </row>
    <row r="61" spans="1:18" x14ac:dyDescent="0.25">
      <c r="A61" t="s">
        <v>20</v>
      </c>
      <c r="B61" t="s">
        <v>88</v>
      </c>
      <c r="D61" t="s">
        <v>83</v>
      </c>
      <c r="J61">
        <v>57</v>
      </c>
      <c r="K61">
        <f>22.9/60</f>
        <v>0.38166666666666665</v>
      </c>
      <c r="M61">
        <f t="shared" si="8"/>
        <v>-0.41831576804375564</v>
      </c>
      <c r="N61" s="15">
        <f t="shared" si="1"/>
        <v>0.19269810528097153</v>
      </c>
      <c r="O61" t="s">
        <v>84</v>
      </c>
      <c r="P61">
        <v>2004</v>
      </c>
      <c r="Q61" t="s">
        <v>85</v>
      </c>
      <c r="R61" t="s">
        <v>81</v>
      </c>
    </row>
    <row r="62" spans="1:18" x14ac:dyDescent="0.25">
      <c r="A62" t="s">
        <v>20</v>
      </c>
      <c r="B62" t="s">
        <v>88</v>
      </c>
      <c r="D62" t="s">
        <v>83</v>
      </c>
      <c r="E62" t="s">
        <v>87</v>
      </c>
      <c r="J62">
        <v>55</v>
      </c>
      <c r="K62">
        <f>20.3/60</f>
        <v>0.33833333333333332</v>
      </c>
      <c r="M62">
        <f t="shared" si="8"/>
        <v>-0.47065521247043074</v>
      </c>
      <c r="N62" s="15">
        <f t="shared" si="1"/>
        <v>0.57822608190931346</v>
      </c>
      <c r="O62" t="s">
        <v>84</v>
      </c>
      <c r="P62">
        <v>2004</v>
      </c>
      <c r="Q62" t="s">
        <v>85</v>
      </c>
      <c r="R62" t="s">
        <v>81</v>
      </c>
    </row>
    <row r="63" spans="1:18" x14ac:dyDescent="0.25">
      <c r="A63" t="s">
        <v>20</v>
      </c>
      <c r="B63" t="s">
        <v>64</v>
      </c>
      <c r="C63" t="s">
        <v>22</v>
      </c>
      <c r="D63" t="s">
        <v>65</v>
      </c>
      <c r="E63" t="s">
        <v>65</v>
      </c>
      <c r="J63">
        <v>55</v>
      </c>
      <c r="K63">
        <f>1/0.005</f>
        <v>200</v>
      </c>
      <c r="M63" s="11">
        <f t="shared" si="8"/>
        <v>2.3010299956639813</v>
      </c>
      <c r="N63" s="15">
        <f t="shared" si="1"/>
        <v>0.57822608190931346</v>
      </c>
      <c r="O63" t="s">
        <v>66</v>
      </c>
      <c r="P63">
        <v>2010</v>
      </c>
      <c r="Q63" t="s">
        <v>67</v>
      </c>
      <c r="R63" s="11" t="s">
        <v>89</v>
      </c>
    </row>
    <row r="64" spans="1:18" x14ac:dyDescent="0.25">
      <c r="A64" t="s">
        <v>20</v>
      </c>
      <c r="B64" t="s">
        <v>64</v>
      </c>
      <c r="C64" t="s">
        <v>22</v>
      </c>
      <c r="D64" t="s">
        <v>65</v>
      </c>
      <c r="E64" t="s">
        <v>65</v>
      </c>
      <c r="J64">
        <v>55</v>
      </c>
      <c r="K64">
        <f>1/0.027</f>
        <v>37.037037037037038</v>
      </c>
      <c r="M64" s="11">
        <f t="shared" si="8"/>
        <v>1.5686362358410126</v>
      </c>
      <c r="N64" s="15">
        <f t="shared" si="1"/>
        <v>0.57822608190931346</v>
      </c>
      <c r="O64" t="s">
        <v>66</v>
      </c>
      <c r="P64">
        <v>2010</v>
      </c>
      <c r="Q64" t="s">
        <v>67</v>
      </c>
      <c r="R64" s="11" t="s">
        <v>89</v>
      </c>
    </row>
    <row r="65" spans="1:18" x14ac:dyDescent="0.25">
      <c r="A65" t="s">
        <v>20</v>
      </c>
      <c r="B65" t="s">
        <v>64</v>
      </c>
      <c r="C65" t="s">
        <v>22</v>
      </c>
      <c r="D65" t="s">
        <v>65</v>
      </c>
      <c r="E65" t="s">
        <v>65</v>
      </c>
      <c r="J65">
        <v>55</v>
      </c>
      <c r="K65">
        <f>1/0.029</f>
        <v>34.482758620689651</v>
      </c>
      <c r="M65" s="11">
        <f t="shared" si="8"/>
        <v>1.5376020021010439</v>
      </c>
      <c r="N65" s="15">
        <f t="shared" si="1"/>
        <v>0.57822608190931346</v>
      </c>
      <c r="O65" t="s">
        <v>66</v>
      </c>
      <c r="P65">
        <v>2010</v>
      </c>
      <c r="Q65" t="s">
        <v>67</v>
      </c>
      <c r="R65" s="11" t="s">
        <v>89</v>
      </c>
    </row>
    <row r="66" spans="1:18" x14ac:dyDescent="0.25">
      <c r="A66" t="s">
        <v>20</v>
      </c>
      <c r="B66" t="s">
        <v>64</v>
      </c>
      <c r="C66" t="s">
        <v>22</v>
      </c>
      <c r="D66" t="s">
        <v>65</v>
      </c>
      <c r="E66" t="s">
        <v>65</v>
      </c>
      <c r="J66">
        <v>55</v>
      </c>
      <c r="K66">
        <f>1/0.032</f>
        <v>31.25</v>
      </c>
      <c r="M66" s="11">
        <f t="shared" si="8"/>
        <v>1.494850021680094</v>
      </c>
      <c r="N66" s="15">
        <f t="shared" si="1"/>
        <v>0.57822608190931346</v>
      </c>
      <c r="O66" t="s">
        <v>66</v>
      </c>
      <c r="P66">
        <v>2010</v>
      </c>
      <c r="Q66" t="s">
        <v>67</v>
      </c>
      <c r="R66" s="11" t="s">
        <v>89</v>
      </c>
    </row>
    <row r="67" spans="1:18" x14ac:dyDescent="0.25">
      <c r="A67" t="s">
        <v>20</v>
      </c>
      <c r="B67" t="s">
        <v>64</v>
      </c>
      <c r="C67" t="s">
        <v>22</v>
      </c>
      <c r="D67" t="s">
        <v>65</v>
      </c>
      <c r="E67" t="s">
        <v>65</v>
      </c>
      <c r="J67">
        <v>55</v>
      </c>
      <c r="K67">
        <f>1/0.01</f>
        <v>100</v>
      </c>
      <c r="M67" s="11">
        <f t="shared" si="8"/>
        <v>2</v>
      </c>
      <c r="N67" s="15">
        <f t="shared" ref="N67:N79" si="9">$U$8-(J67-$U$4)/$U$3</f>
        <v>0.57822608190931346</v>
      </c>
      <c r="O67" t="s">
        <v>66</v>
      </c>
      <c r="P67">
        <v>2010</v>
      </c>
      <c r="Q67" t="s">
        <v>67</v>
      </c>
      <c r="R67" s="11" t="s">
        <v>89</v>
      </c>
    </row>
    <row r="68" spans="1:18" x14ac:dyDescent="0.25">
      <c r="A68" t="s">
        <v>20</v>
      </c>
      <c r="B68" t="s">
        <v>64</v>
      </c>
      <c r="C68" t="s">
        <v>22</v>
      </c>
      <c r="D68" t="s">
        <v>65</v>
      </c>
      <c r="E68" t="s">
        <v>65</v>
      </c>
      <c r="J68">
        <v>55</v>
      </c>
      <c r="K68">
        <f>1/0.016</f>
        <v>62.5</v>
      </c>
      <c r="M68" s="11">
        <f t="shared" si="8"/>
        <v>1.7958800173440752</v>
      </c>
      <c r="N68" s="15">
        <f t="shared" si="9"/>
        <v>0.57822608190931346</v>
      </c>
      <c r="O68" t="s">
        <v>66</v>
      </c>
      <c r="P68">
        <v>2010</v>
      </c>
      <c r="Q68" t="s">
        <v>67</v>
      </c>
      <c r="R68" s="11" t="s">
        <v>89</v>
      </c>
    </row>
    <row r="69" spans="1:18" x14ac:dyDescent="0.25">
      <c r="A69" t="s">
        <v>20</v>
      </c>
      <c r="B69" t="s">
        <v>64</v>
      </c>
      <c r="C69" t="s">
        <v>22</v>
      </c>
      <c r="D69" t="s">
        <v>65</v>
      </c>
      <c r="E69" t="s">
        <v>65</v>
      </c>
      <c r="J69">
        <v>55</v>
      </c>
      <c r="K69">
        <f>1/0.003</f>
        <v>333.33333333333331</v>
      </c>
      <c r="M69" s="11">
        <f t="shared" si="8"/>
        <v>2.5228787452803374</v>
      </c>
      <c r="N69" s="15">
        <f t="shared" si="9"/>
        <v>0.57822608190931346</v>
      </c>
      <c r="O69" t="s">
        <v>66</v>
      </c>
      <c r="P69">
        <v>2010</v>
      </c>
      <c r="Q69" t="s">
        <v>67</v>
      </c>
      <c r="R69" s="11" t="s">
        <v>89</v>
      </c>
    </row>
    <row r="70" spans="1:18" x14ac:dyDescent="0.25">
      <c r="A70" t="s">
        <v>20</v>
      </c>
      <c r="B70" t="s">
        <v>90</v>
      </c>
      <c r="C70" t="s">
        <v>22</v>
      </c>
      <c r="D70" t="s">
        <v>91</v>
      </c>
      <c r="E70" s="12" t="s">
        <v>92</v>
      </c>
      <c r="H70">
        <v>7.5</v>
      </c>
      <c r="J70">
        <v>54.4</v>
      </c>
      <c r="K70">
        <v>400.6</v>
      </c>
      <c r="M70" s="12">
        <f t="shared" si="8"/>
        <v>2.6027109449575576</v>
      </c>
      <c r="N70" s="15">
        <f t="shared" si="9"/>
        <v>0.69388447489781635</v>
      </c>
      <c r="O70" t="s">
        <v>79</v>
      </c>
      <c r="P70">
        <v>2009</v>
      </c>
      <c r="Q70" t="s">
        <v>93</v>
      </c>
      <c r="R70" t="s">
        <v>94</v>
      </c>
    </row>
    <row r="71" spans="1:18" x14ac:dyDescent="0.25">
      <c r="A71" t="s">
        <v>20</v>
      </c>
      <c r="B71" t="s">
        <v>90</v>
      </c>
      <c r="C71" t="s">
        <v>22</v>
      </c>
      <c r="D71" t="s">
        <v>91</v>
      </c>
      <c r="E71" s="12" t="s">
        <v>92</v>
      </c>
      <c r="J71">
        <v>60</v>
      </c>
      <c r="K71">
        <v>160.69999999999999</v>
      </c>
      <c r="M71" s="12">
        <f t="shared" si="8"/>
        <v>2.2060158767633444</v>
      </c>
      <c r="N71" s="15">
        <f t="shared" si="9"/>
        <v>-0.38559385966154158</v>
      </c>
      <c r="O71" t="s">
        <v>79</v>
      </c>
      <c r="P71">
        <v>2009</v>
      </c>
      <c r="Q71" t="s">
        <v>93</v>
      </c>
      <c r="R71" t="s">
        <v>94</v>
      </c>
    </row>
    <row r="72" spans="1:18" x14ac:dyDescent="0.25">
      <c r="A72" t="s">
        <v>20</v>
      </c>
      <c r="B72" t="s">
        <v>90</v>
      </c>
      <c r="C72" t="s">
        <v>22</v>
      </c>
      <c r="D72" t="s">
        <v>91</v>
      </c>
      <c r="E72" s="12" t="s">
        <v>92</v>
      </c>
      <c r="J72">
        <v>65.5</v>
      </c>
      <c r="K72">
        <v>109.4</v>
      </c>
      <c r="M72" s="12">
        <f t="shared" si="8"/>
        <v>2.0390173219974121</v>
      </c>
      <c r="N72" s="15">
        <f t="shared" si="9"/>
        <v>-1.4457957953894824</v>
      </c>
      <c r="O72" t="s">
        <v>79</v>
      </c>
      <c r="P72">
        <v>2009</v>
      </c>
      <c r="Q72" t="s">
        <v>93</v>
      </c>
      <c r="R72" t="s">
        <v>94</v>
      </c>
    </row>
    <row r="73" spans="1:18" x14ac:dyDescent="0.25">
      <c r="A73" t="s">
        <v>20</v>
      </c>
      <c r="B73" t="s">
        <v>90</v>
      </c>
      <c r="C73" t="s">
        <v>22</v>
      </c>
      <c r="D73" t="s">
        <v>91</v>
      </c>
      <c r="E73" s="12" t="s">
        <v>92</v>
      </c>
      <c r="J73">
        <v>71.099999999999994</v>
      </c>
      <c r="K73">
        <v>43.7</v>
      </c>
      <c r="M73" s="12">
        <f t="shared" si="8"/>
        <v>1.6404814369704219</v>
      </c>
      <c r="N73" s="15">
        <f t="shared" si="9"/>
        <v>-2.5252741299488393</v>
      </c>
      <c r="O73" t="s">
        <v>79</v>
      </c>
      <c r="P73">
        <v>2009</v>
      </c>
      <c r="Q73" t="s">
        <v>93</v>
      </c>
      <c r="R73" t="s">
        <v>94</v>
      </c>
    </row>
    <row r="74" spans="1:18" x14ac:dyDescent="0.25">
      <c r="A74" t="s">
        <v>20</v>
      </c>
      <c r="B74" t="s">
        <v>88</v>
      </c>
      <c r="D74" t="s">
        <v>91</v>
      </c>
      <c r="E74" s="12" t="s">
        <v>92</v>
      </c>
      <c r="J74">
        <v>55</v>
      </c>
      <c r="K74">
        <f>2.2*24*60</f>
        <v>3168.0000000000005</v>
      </c>
      <c r="M74" s="12">
        <f t="shared" ref="M74:M79" si="10">LOG10(K74)</f>
        <v>3.5007851729174559</v>
      </c>
      <c r="N74" s="15">
        <f t="shared" si="9"/>
        <v>0.57822608190931346</v>
      </c>
      <c r="O74" t="s">
        <v>84</v>
      </c>
      <c r="P74">
        <v>2004</v>
      </c>
      <c r="Q74" t="s">
        <v>85</v>
      </c>
      <c r="R74" t="s">
        <v>81</v>
      </c>
    </row>
    <row r="75" spans="1:18" x14ac:dyDescent="0.25">
      <c r="A75" t="s">
        <v>20</v>
      </c>
      <c r="B75" t="s">
        <v>88</v>
      </c>
      <c r="D75" t="s">
        <v>91</v>
      </c>
      <c r="E75" s="12" t="s">
        <v>92</v>
      </c>
      <c r="J75">
        <v>57</v>
      </c>
      <c r="K75">
        <f>1.4*24*60</f>
        <v>2015.9999999999995</v>
      </c>
      <c r="M75" s="12">
        <f t="shared" si="10"/>
        <v>3.3044905277734875</v>
      </c>
      <c r="N75" s="15">
        <f t="shared" si="9"/>
        <v>0.19269810528097153</v>
      </c>
      <c r="O75" t="s">
        <v>84</v>
      </c>
      <c r="P75">
        <v>2004</v>
      </c>
      <c r="Q75" t="s">
        <v>85</v>
      </c>
      <c r="R75" t="s">
        <v>81</v>
      </c>
    </row>
    <row r="76" spans="1:18" x14ac:dyDescent="0.25">
      <c r="A76" t="s">
        <v>20</v>
      </c>
      <c r="B76" t="s">
        <v>88</v>
      </c>
      <c r="D76" t="s">
        <v>91</v>
      </c>
      <c r="E76" s="12" t="s">
        <v>92</v>
      </c>
      <c r="J76">
        <v>59</v>
      </c>
      <c r="K76">
        <f>1.3*24*60</f>
        <v>1872.0000000000002</v>
      </c>
      <c r="M76" s="12">
        <f t="shared" si="10"/>
        <v>3.2723058444020863</v>
      </c>
      <c r="N76" s="15">
        <f t="shared" si="9"/>
        <v>-0.1928298713473704</v>
      </c>
      <c r="O76" t="s">
        <v>84</v>
      </c>
      <c r="P76">
        <v>2004</v>
      </c>
      <c r="Q76" t="s">
        <v>85</v>
      </c>
      <c r="R76" t="s">
        <v>81</v>
      </c>
    </row>
    <row r="77" spans="1:18" x14ac:dyDescent="0.25">
      <c r="A77" t="s">
        <v>20</v>
      </c>
      <c r="B77" t="s">
        <v>88</v>
      </c>
      <c r="D77" t="s">
        <v>91</v>
      </c>
      <c r="E77" s="12" t="s">
        <v>92</v>
      </c>
      <c r="J77">
        <v>61</v>
      </c>
      <c r="K77">
        <f>1*24*60</f>
        <v>1440</v>
      </c>
      <c r="M77" s="12">
        <f t="shared" si="10"/>
        <v>3.1583624920952498</v>
      </c>
      <c r="N77" s="15">
        <f t="shared" si="9"/>
        <v>-0.57835784797571277</v>
      </c>
      <c r="O77" t="s">
        <v>84</v>
      </c>
      <c r="P77">
        <v>2004</v>
      </c>
      <c r="Q77" t="s">
        <v>85</v>
      </c>
      <c r="R77" t="s">
        <v>81</v>
      </c>
    </row>
    <row r="78" spans="1:18" x14ac:dyDescent="0.25">
      <c r="A78" t="s">
        <v>20</v>
      </c>
      <c r="B78" t="s">
        <v>88</v>
      </c>
      <c r="D78" t="s">
        <v>91</v>
      </c>
      <c r="E78" s="12" t="s">
        <v>92</v>
      </c>
      <c r="J78">
        <v>63</v>
      </c>
      <c r="K78">
        <f>0.2*24*60</f>
        <v>288.00000000000006</v>
      </c>
      <c r="M78" s="12">
        <f t="shared" si="10"/>
        <v>2.459392487759231</v>
      </c>
      <c r="N78" s="15">
        <f t="shared" si="9"/>
        <v>-0.9638858246040547</v>
      </c>
      <c r="O78" t="s">
        <v>84</v>
      </c>
      <c r="P78">
        <v>2004</v>
      </c>
      <c r="Q78" t="s">
        <v>85</v>
      </c>
      <c r="R78" t="s">
        <v>81</v>
      </c>
    </row>
    <row r="79" spans="1:18" x14ac:dyDescent="0.25">
      <c r="A79" t="s">
        <v>20</v>
      </c>
      <c r="B79" t="s">
        <v>82</v>
      </c>
      <c r="D79" t="s">
        <v>91</v>
      </c>
      <c r="E79" s="12" t="s">
        <v>92</v>
      </c>
      <c r="J79">
        <v>55</v>
      </c>
      <c r="K79">
        <f>12*60</f>
        <v>720</v>
      </c>
      <c r="M79" s="12">
        <f t="shared" si="10"/>
        <v>2.8573324964312685</v>
      </c>
      <c r="N79" s="15">
        <f t="shared" si="9"/>
        <v>0.57822608190931346</v>
      </c>
      <c r="O79" t="s">
        <v>84</v>
      </c>
      <c r="P79">
        <v>2004</v>
      </c>
      <c r="Q79" t="s">
        <v>85</v>
      </c>
      <c r="R79" t="s">
        <v>81</v>
      </c>
    </row>
    <row r="80" spans="1:18" x14ac:dyDescent="0.25">
      <c r="O80" t="s">
        <v>95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topLeftCell="R1" workbookViewId="0">
      <pane ySplit="1" topLeftCell="A2" activePane="bottomLeft" state="frozen"/>
      <selection pane="bottomLeft" activeCell="AA13" sqref="AA13"/>
    </sheetView>
  </sheetViews>
  <sheetFormatPr baseColWidth="10" defaultColWidth="9.140625" defaultRowHeight="15" x14ac:dyDescent="0.25"/>
  <cols>
    <col min="1" max="1" width="23.28515625" customWidth="1"/>
    <col min="4" max="4" width="21" bestFit="1" customWidth="1"/>
    <col min="5" max="5" width="45.42578125" bestFit="1" customWidth="1"/>
    <col min="17" max="17" width="44.140625" customWidth="1"/>
    <col min="18" max="18" width="58.140625" customWidth="1"/>
    <col min="20" max="20" width="11.5703125" customWidth="1"/>
    <col min="21" max="21" width="9.7109375" bestFit="1" customWidth="1"/>
    <col min="24" max="24" width="21.140625" bestFit="1" customWidth="1"/>
    <col min="25" max="25" width="17.85546875" bestFit="1" customWidth="1"/>
    <col min="26" max="26" width="32.42578125" bestFit="1" customWidth="1"/>
  </cols>
  <sheetData>
    <row r="1" spans="1:27" s="6" customFormat="1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96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97</v>
      </c>
      <c r="N1" s="5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T1" s="14" t="s">
        <v>98</v>
      </c>
    </row>
    <row r="2" spans="1:27" x14ac:dyDescent="0.25">
      <c r="A2" t="s">
        <v>99</v>
      </c>
      <c r="B2" t="s">
        <v>100</v>
      </c>
      <c r="C2" t="s">
        <v>101</v>
      </c>
      <c r="D2" t="s">
        <v>102</v>
      </c>
      <c r="E2" t="s">
        <v>103</v>
      </c>
      <c r="F2" t="s">
        <v>25</v>
      </c>
      <c r="I2">
        <v>6.6</v>
      </c>
      <c r="J2">
        <v>40</v>
      </c>
      <c r="K2">
        <v>0.96618357487922713</v>
      </c>
      <c r="M2">
        <f>LOG10(K2)</f>
        <v>-1.4940349792936526E-2</v>
      </c>
      <c r="N2" s="15">
        <f>$U$8-(J2-$U$4)/$U$3</f>
        <v>1.074660344758869</v>
      </c>
      <c r="O2" t="s">
        <v>104</v>
      </c>
      <c r="P2">
        <v>2016</v>
      </c>
      <c r="R2" t="s">
        <v>105</v>
      </c>
      <c r="T2" t="s">
        <v>28</v>
      </c>
      <c r="U2" t="s">
        <v>30</v>
      </c>
    </row>
    <row r="3" spans="1:27" x14ac:dyDescent="0.25">
      <c r="A3" t="s">
        <v>99</v>
      </c>
      <c r="B3" t="s">
        <v>100</v>
      </c>
      <c r="D3" t="s">
        <v>102</v>
      </c>
      <c r="E3" t="s">
        <v>103</v>
      </c>
      <c r="F3" t="s">
        <v>25</v>
      </c>
      <c r="I3">
        <v>6.6</v>
      </c>
      <c r="J3">
        <v>50</v>
      </c>
      <c r="K3">
        <v>0.58576051779935268</v>
      </c>
      <c r="M3">
        <f t="shared" ref="M3:M51" si="0">LOG10(K3)</f>
        <v>-0.23227990455565017</v>
      </c>
      <c r="N3" s="15">
        <f t="shared" ref="N3:N51" si="1">$U$8-(J3-$U$4)/$U$3</f>
        <v>0.56450489432318252</v>
      </c>
      <c r="O3" t="s">
        <v>104</v>
      </c>
      <c r="P3">
        <v>2016</v>
      </c>
      <c r="R3" t="s">
        <v>105</v>
      </c>
      <c r="T3" t="s">
        <v>31</v>
      </c>
      <c r="U3" s="8">
        <f>-1/SLOPE(M2:M51,J2:J51)</f>
        <v>19.601868394152675</v>
      </c>
      <c r="V3" s="8">
        <f>SLOPE(M2:M51,J2:J51)</f>
        <v>-5.101554504356863E-2</v>
      </c>
      <c r="W3" t="s">
        <v>32</v>
      </c>
    </row>
    <row r="4" spans="1:27" x14ac:dyDescent="0.25">
      <c r="A4" t="s">
        <v>99</v>
      </c>
      <c r="B4" t="s">
        <v>100</v>
      </c>
      <c r="D4" t="s">
        <v>102</v>
      </c>
      <c r="E4" t="s">
        <v>103</v>
      </c>
      <c r="F4" t="s">
        <v>25</v>
      </c>
      <c r="I4">
        <v>6.6</v>
      </c>
      <c r="J4">
        <v>60</v>
      </c>
      <c r="K4">
        <v>0.48561151079136694</v>
      </c>
      <c r="M4">
        <f t="shared" si="0"/>
        <v>-0.31371102742307011</v>
      </c>
      <c r="N4" s="15">
        <f t="shared" si="1"/>
        <v>5.4349443887496296E-2</v>
      </c>
      <c r="O4" t="s">
        <v>104</v>
      </c>
      <c r="P4">
        <v>2016</v>
      </c>
      <c r="R4" t="s">
        <v>105</v>
      </c>
      <c r="T4" t="s">
        <v>34</v>
      </c>
      <c r="U4" s="22">
        <v>70</v>
      </c>
    </row>
    <row r="5" spans="1:27" x14ac:dyDescent="0.25">
      <c r="A5" t="s">
        <v>99</v>
      </c>
      <c r="B5" t="s">
        <v>100</v>
      </c>
      <c r="D5" t="s">
        <v>102</v>
      </c>
      <c r="E5" t="s">
        <v>103</v>
      </c>
      <c r="F5" t="s">
        <v>25</v>
      </c>
      <c r="I5">
        <v>6.6</v>
      </c>
      <c r="J5">
        <v>70</v>
      </c>
      <c r="K5">
        <v>0.69544364508393286</v>
      </c>
      <c r="M5">
        <f t="shared" si="0"/>
        <v>-0.15773805707480143</v>
      </c>
      <c r="N5" s="15">
        <f t="shared" si="1"/>
        <v>-0.45580600654818992</v>
      </c>
      <c r="O5" t="s">
        <v>104</v>
      </c>
      <c r="P5">
        <v>2016</v>
      </c>
      <c r="R5" t="s">
        <v>105</v>
      </c>
      <c r="T5" t="s">
        <v>35</v>
      </c>
      <c r="U5" s="8">
        <f>TINV(0.05,COUNT(M2:M51)-2)</f>
        <v>2.0106347576242314</v>
      </c>
    </row>
    <row r="6" spans="1:27" x14ac:dyDescent="0.25">
      <c r="A6" t="s">
        <v>99</v>
      </c>
      <c r="B6" t="s">
        <v>100</v>
      </c>
      <c r="D6" t="s">
        <v>102</v>
      </c>
      <c r="E6" t="s">
        <v>103</v>
      </c>
      <c r="F6" t="s">
        <v>25</v>
      </c>
      <c r="I6">
        <v>6.6</v>
      </c>
      <c r="J6">
        <v>68</v>
      </c>
      <c r="K6">
        <v>0.5714285714285714</v>
      </c>
      <c r="M6">
        <f t="shared" si="0"/>
        <v>-0.24303804868629447</v>
      </c>
      <c r="N6" s="15">
        <f t="shared" si="1"/>
        <v>-0.35377491646105264</v>
      </c>
      <c r="O6" t="s">
        <v>104</v>
      </c>
      <c r="P6">
        <v>2016</v>
      </c>
      <c r="R6" t="s">
        <v>105</v>
      </c>
      <c r="T6" t="s">
        <v>37</v>
      </c>
      <c r="U6" s="8">
        <f>SUMXMY2(M2:M51,N2:N51)</f>
        <v>17.423561749240552</v>
      </c>
    </row>
    <row r="7" spans="1:27" x14ac:dyDescent="0.25">
      <c r="A7" t="s">
        <v>99</v>
      </c>
      <c r="B7" t="s">
        <v>100</v>
      </c>
      <c r="D7" t="s">
        <v>102</v>
      </c>
      <c r="E7" t="s">
        <v>106</v>
      </c>
      <c r="H7" s="9">
        <v>0.28000000000000003</v>
      </c>
      <c r="I7">
        <v>6.7</v>
      </c>
      <c r="J7">
        <v>40</v>
      </c>
      <c r="K7">
        <v>2.8217821782178221</v>
      </c>
      <c r="M7">
        <f t="shared" si="0"/>
        <v>0.45052348622586769</v>
      </c>
      <c r="N7" s="15">
        <f t="shared" si="1"/>
        <v>1.074660344758869</v>
      </c>
      <c r="O7" t="s">
        <v>104</v>
      </c>
      <c r="P7">
        <v>2016</v>
      </c>
      <c r="R7" t="s">
        <v>105</v>
      </c>
      <c r="T7" t="s">
        <v>38</v>
      </c>
      <c r="U7" s="8">
        <f>SQRT(U6/(COUNT(M2:M51)-2))</f>
        <v>0.60248723619330291</v>
      </c>
      <c r="Z7" s="20" t="s">
        <v>39</v>
      </c>
      <c r="AA7" t="s">
        <v>40</v>
      </c>
    </row>
    <row r="8" spans="1:27" x14ac:dyDescent="0.25">
      <c r="A8" t="s">
        <v>99</v>
      </c>
      <c r="B8" t="s">
        <v>100</v>
      </c>
      <c r="D8" t="s">
        <v>102</v>
      </c>
      <c r="E8" t="s">
        <v>106</v>
      </c>
      <c r="H8" s="9">
        <v>0.28000000000000003</v>
      </c>
      <c r="I8">
        <v>6.7</v>
      </c>
      <c r="J8">
        <v>50</v>
      </c>
      <c r="K8">
        <v>1.2363834422657951</v>
      </c>
      <c r="M8">
        <f t="shared" si="0"/>
        <v>9.2153180327899056E-2</v>
      </c>
      <c r="N8" s="15">
        <f t="shared" si="1"/>
        <v>0.56450489432318252</v>
      </c>
      <c r="O8" t="s">
        <v>104</v>
      </c>
      <c r="P8">
        <v>2016</v>
      </c>
      <c r="R8" t="s">
        <v>105</v>
      </c>
      <c r="T8" t="s">
        <v>42</v>
      </c>
      <c r="U8" s="8">
        <f>INTERCEPT(M2:M51,J2:J51)-U4/U3</f>
        <v>-0.45580600654818992</v>
      </c>
      <c r="V8" s="8">
        <f>INTERCEPT(M2:M62,J2:J62)</f>
        <v>3.1152821465016141</v>
      </c>
      <c r="W8" t="s">
        <v>43</v>
      </c>
      <c r="X8" t="s">
        <v>44</v>
      </c>
      <c r="Y8" s="8">
        <f>10^U8</f>
        <v>0.3501015177030723</v>
      </c>
      <c r="Z8" s="21">
        <f>30/Y8</f>
        <v>85.689431444977529</v>
      </c>
    </row>
    <row r="9" spans="1:27" x14ac:dyDescent="0.25">
      <c r="A9" t="s">
        <v>99</v>
      </c>
      <c r="B9" t="s">
        <v>100</v>
      </c>
      <c r="D9" t="s">
        <v>102</v>
      </c>
      <c r="E9" t="s">
        <v>106</v>
      </c>
      <c r="H9" s="9">
        <v>0.28000000000000003</v>
      </c>
      <c r="I9">
        <v>6.7</v>
      </c>
      <c r="J9">
        <v>60</v>
      </c>
      <c r="K9">
        <v>1.2299679487179487</v>
      </c>
      <c r="M9">
        <f t="shared" si="0"/>
        <v>8.9893794466800098E-2</v>
      </c>
      <c r="N9" s="15">
        <f t="shared" si="1"/>
        <v>5.4349443887496296E-2</v>
      </c>
      <c r="O9" t="s">
        <v>104</v>
      </c>
      <c r="P9">
        <v>2016</v>
      </c>
      <c r="R9" t="s">
        <v>105</v>
      </c>
      <c r="T9" t="s">
        <v>45</v>
      </c>
      <c r="U9" s="8">
        <f>U8+U5*U7</f>
        <v>0.75557577156702482</v>
      </c>
      <c r="X9" t="s">
        <v>46</v>
      </c>
      <c r="Y9" s="25">
        <f>10^U9</f>
        <v>5.6960759516996395</v>
      </c>
      <c r="Z9" s="21">
        <f>30/Y9</f>
        <v>5.2667837041478291</v>
      </c>
      <c r="AA9" s="38">
        <f>30/AA14</f>
        <v>178.65362570346397</v>
      </c>
    </row>
    <row r="10" spans="1:27" ht="15.75" thickBot="1" x14ac:dyDescent="0.3">
      <c r="A10" t="s">
        <v>99</v>
      </c>
      <c r="B10" t="s">
        <v>100</v>
      </c>
      <c r="D10" t="s">
        <v>102</v>
      </c>
      <c r="E10" t="s">
        <v>106</v>
      </c>
      <c r="H10" s="9">
        <v>0.28000000000000003</v>
      </c>
      <c r="I10">
        <v>6.7</v>
      </c>
      <c r="J10">
        <v>70</v>
      </c>
      <c r="K10">
        <v>1.5188172043010753</v>
      </c>
      <c r="M10">
        <f t="shared" si="0"/>
        <v>0.18150550793754103</v>
      </c>
      <c r="N10" s="15">
        <f t="shared" si="1"/>
        <v>-0.45580600654818992</v>
      </c>
      <c r="O10" t="s">
        <v>104</v>
      </c>
      <c r="P10">
        <v>2016</v>
      </c>
      <c r="R10" t="s">
        <v>105</v>
      </c>
    </row>
    <row r="11" spans="1:27" x14ac:dyDescent="0.25">
      <c r="A11" t="s">
        <v>99</v>
      </c>
      <c r="B11" t="s">
        <v>100</v>
      </c>
      <c r="D11" t="s">
        <v>102</v>
      </c>
      <c r="E11" t="s">
        <v>106</v>
      </c>
      <c r="H11" s="9">
        <v>0.28000000000000003</v>
      </c>
      <c r="I11">
        <v>6.7</v>
      </c>
      <c r="J11">
        <v>79</v>
      </c>
      <c r="K11">
        <v>5.7077625570776253E-2</v>
      </c>
      <c r="M11">
        <f t="shared" si="0"/>
        <v>-1.243534101832062</v>
      </c>
      <c r="N11" s="15">
        <f t="shared" si="1"/>
        <v>-0.91494591194030761</v>
      </c>
      <c r="O11" t="s">
        <v>104</v>
      </c>
      <c r="P11">
        <v>2016</v>
      </c>
      <c r="R11" t="s">
        <v>105</v>
      </c>
      <c r="T11" t="s">
        <v>48</v>
      </c>
      <c r="U11" t="s">
        <v>107</v>
      </c>
      <c r="V11" t="s">
        <v>108</v>
      </c>
      <c r="Z11" s="35"/>
      <c r="AA11" s="36"/>
    </row>
    <row r="12" spans="1:27" x14ac:dyDescent="0.25">
      <c r="A12" t="s">
        <v>99</v>
      </c>
      <c r="B12" t="s">
        <v>100</v>
      </c>
      <c r="D12" t="s">
        <v>102</v>
      </c>
      <c r="E12" t="s">
        <v>106</v>
      </c>
      <c r="H12" s="9">
        <v>0.28000000000000003</v>
      </c>
      <c r="I12">
        <v>6.7</v>
      </c>
      <c r="J12">
        <v>79</v>
      </c>
      <c r="K12">
        <v>1.9004180919802358E-2</v>
      </c>
      <c r="M12">
        <f t="shared" si="0"/>
        <v>-1.7211508437496841</v>
      </c>
      <c r="N12" s="15">
        <f t="shared" si="1"/>
        <v>-0.91494591194030761</v>
      </c>
      <c r="O12" t="s">
        <v>104</v>
      </c>
      <c r="P12">
        <v>2016</v>
      </c>
      <c r="R12" t="s">
        <v>105</v>
      </c>
      <c r="T12">
        <v>45</v>
      </c>
      <c r="U12" s="15">
        <f>$U$8-(T12-$U$4)/$U$3</f>
        <v>0.81958261954102585</v>
      </c>
      <c r="V12" s="8">
        <f>U12+$U$7*$U$5</f>
        <v>2.0309643976562404</v>
      </c>
      <c r="Z12" s="29" t="s">
        <v>109</v>
      </c>
      <c r="AA12" s="37">
        <v>100</v>
      </c>
    </row>
    <row r="13" spans="1:27" x14ac:dyDescent="0.25">
      <c r="A13" t="s">
        <v>99</v>
      </c>
      <c r="B13" t="s">
        <v>100</v>
      </c>
      <c r="D13" t="s">
        <v>102</v>
      </c>
      <c r="E13" t="s">
        <v>110</v>
      </c>
      <c r="I13">
        <v>7.6</v>
      </c>
      <c r="J13">
        <v>79</v>
      </c>
      <c r="K13">
        <v>2.1958717610891524E-2</v>
      </c>
      <c r="M13">
        <f t="shared" si="0"/>
        <v>-1.658393026279124</v>
      </c>
      <c r="N13" s="15">
        <f t="shared" si="1"/>
        <v>-0.91494591194030761</v>
      </c>
      <c r="O13" t="s">
        <v>104</v>
      </c>
      <c r="P13">
        <v>2016</v>
      </c>
      <c r="R13" t="s">
        <v>105</v>
      </c>
      <c r="T13">
        <f>T12+5</f>
        <v>50</v>
      </c>
      <c r="U13" s="15">
        <f t="shared" ref="U13:U27" si="2">$U$8-(T13-$U$4)/$U$3</f>
        <v>0.56450489432318252</v>
      </c>
      <c r="V13" s="8">
        <f t="shared" ref="V13:V27" si="3">U13+$U$7*$U$5</f>
        <v>1.7758866724383973</v>
      </c>
      <c r="Z13" s="29" t="s">
        <v>111</v>
      </c>
      <c r="AA13" s="30">
        <f>U9-(AA12-U4)/U3</f>
        <v>-0.77489057974003406</v>
      </c>
    </row>
    <row r="14" spans="1:27" x14ac:dyDescent="0.25">
      <c r="A14" t="s">
        <v>99</v>
      </c>
      <c r="B14" t="s">
        <v>112</v>
      </c>
      <c r="D14" t="s">
        <v>83</v>
      </c>
      <c r="E14" t="s">
        <v>113</v>
      </c>
      <c r="J14">
        <v>63</v>
      </c>
      <c r="K14">
        <f>30/2</f>
        <v>15</v>
      </c>
      <c r="M14">
        <f t="shared" si="0"/>
        <v>1.1760912590556813</v>
      </c>
      <c r="N14" s="15">
        <f t="shared" si="1"/>
        <v>-9.8697191243209526E-2</v>
      </c>
      <c r="O14" t="s">
        <v>114</v>
      </c>
      <c r="P14">
        <v>2007</v>
      </c>
      <c r="Q14" t="s">
        <v>115</v>
      </c>
      <c r="T14">
        <f t="shared" ref="T14:T27" si="4">T13+5</f>
        <v>55</v>
      </c>
      <c r="U14" s="15">
        <f t="shared" si="2"/>
        <v>0.30942716910533952</v>
      </c>
      <c r="V14" s="8">
        <f t="shared" si="3"/>
        <v>1.5208089472205542</v>
      </c>
      <c r="Z14" s="29" t="s">
        <v>61</v>
      </c>
      <c r="AA14" s="30">
        <f>10^(AA13)</f>
        <v>0.16792270451759614</v>
      </c>
    </row>
    <row r="15" spans="1:27" ht="15.75" thickBot="1" x14ac:dyDescent="0.3">
      <c r="A15" t="s">
        <v>99</v>
      </c>
      <c r="B15" t="s">
        <v>112</v>
      </c>
      <c r="D15" t="s">
        <v>83</v>
      </c>
      <c r="E15" t="s">
        <v>113</v>
      </c>
      <c r="J15">
        <v>72</v>
      </c>
      <c r="K15">
        <f>(15/60)/2</f>
        <v>0.125</v>
      </c>
      <c r="M15">
        <f t="shared" si="0"/>
        <v>-0.90308998699194354</v>
      </c>
      <c r="N15" s="15">
        <f t="shared" si="1"/>
        <v>-0.55783709663532721</v>
      </c>
      <c r="O15" t="s">
        <v>114</v>
      </c>
      <c r="P15">
        <v>2007</v>
      </c>
      <c r="Q15" t="s">
        <v>115</v>
      </c>
      <c r="T15">
        <f t="shared" si="4"/>
        <v>60</v>
      </c>
      <c r="U15" s="15">
        <f t="shared" si="2"/>
        <v>5.4349443887496296E-2</v>
      </c>
      <c r="V15" s="8">
        <f t="shared" si="3"/>
        <v>1.265731222002711</v>
      </c>
      <c r="Z15" s="32"/>
      <c r="AA15" s="34"/>
    </row>
    <row r="16" spans="1:27" x14ac:dyDescent="0.25">
      <c r="A16" t="s">
        <v>99</v>
      </c>
      <c r="D16" t="s">
        <v>116</v>
      </c>
      <c r="E16" t="s">
        <v>117</v>
      </c>
      <c r="I16">
        <v>7.5</v>
      </c>
      <c r="J16">
        <v>55</v>
      </c>
      <c r="K16">
        <v>3.2258064516129035</v>
      </c>
      <c r="M16">
        <f t="shared" si="0"/>
        <v>0.50863830616572736</v>
      </c>
      <c r="N16" s="15">
        <f t="shared" si="1"/>
        <v>0.30942716910533952</v>
      </c>
      <c r="O16" t="s">
        <v>118</v>
      </c>
      <c r="P16">
        <v>2000</v>
      </c>
      <c r="Q16" t="s">
        <v>119</v>
      </c>
      <c r="R16" t="s">
        <v>120</v>
      </c>
      <c r="T16">
        <f t="shared" si="4"/>
        <v>65</v>
      </c>
      <c r="U16" s="15">
        <f t="shared" si="2"/>
        <v>-0.20072828133034681</v>
      </c>
      <c r="V16" s="8">
        <f t="shared" si="3"/>
        <v>1.0106534967848679</v>
      </c>
    </row>
    <row r="17" spans="1:22" x14ac:dyDescent="0.25">
      <c r="A17" t="s">
        <v>99</v>
      </c>
      <c r="D17" t="s">
        <v>116</v>
      </c>
      <c r="E17" t="s">
        <v>117</v>
      </c>
      <c r="I17">
        <v>7.5</v>
      </c>
      <c r="J17">
        <v>60</v>
      </c>
      <c r="K17">
        <v>2.3255813953488373</v>
      </c>
      <c r="M17">
        <f t="shared" si="0"/>
        <v>0.36653154442041352</v>
      </c>
      <c r="N17" s="15">
        <f t="shared" si="1"/>
        <v>5.4349443887496296E-2</v>
      </c>
      <c r="O17" t="s">
        <v>118</v>
      </c>
      <c r="P17">
        <v>2000</v>
      </c>
      <c r="Q17" t="s">
        <v>119</v>
      </c>
      <c r="R17" t="s">
        <v>120</v>
      </c>
      <c r="T17">
        <f t="shared" si="4"/>
        <v>70</v>
      </c>
      <c r="U17" s="15">
        <f t="shared" si="2"/>
        <v>-0.45580600654818992</v>
      </c>
      <c r="V17" s="8">
        <f t="shared" si="3"/>
        <v>0.75557577156702482</v>
      </c>
    </row>
    <row r="18" spans="1:22" x14ac:dyDescent="0.25">
      <c r="A18" t="s">
        <v>99</v>
      </c>
      <c r="D18" t="s">
        <v>116</v>
      </c>
      <c r="E18" t="s">
        <v>117</v>
      </c>
      <c r="I18">
        <v>7.5</v>
      </c>
      <c r="J18">
        <v>65</v>
      </c>
      <c r="K18">
        <v>0.94339622641509435</v>
      </c>
      <c r="M18">
        <f t="shared" si="0"/>
        <v>-2.5305865264770234E-2</v>
      </c>
      <c r="N18" s="15">
        <f t="shared" si="1"/>
        <v>-0.20072828133034681</v>
      </c>
      <c r="O18" t="s">
        <v>118</v>
      </c>
      <c r="P18">
        <v>2000</v>
      </c>
      <c r="Q18" t="s">
        <v>119</v>
      </c>
      <c r="R18" t="s">
        <v>120</v>
      </c>
      <c r="T18">
        <f t="shared" si="4"/>
        <v>75</v>
      </c>
      <c r="U18" s="15">
        <f t="shared" si="2"/>
        <v>-0.71088373176603303</v>
      </c>
      <c r="V18" s="8">
        <f t="shared" si="3"/>
        <v>0.50049804634918171</v>
      </c>
    </row>
    <row r="19" spans="1:22" x14ac:dyDescent="0.25">
      <c r="A19" t="s">
        <v>99</v>
      </c>
      <c r="D19" t="s">
        <v>116</v>
      </c>
      <c r="E19" t="s">
        <v>117</v>
      </c>
      <c r="I19">
        <v>7.5</v>
      </c>
      <c r="J19">
        <v>67</v>
      </c>
      <c r="K19">
        <v>0.44726631393298061</v>
      </c>
      <c r="M19">
        <f t="shared" si="0"/>
        <v>-0.34943380968321147</v>
      </c>
      <c r="N19" s="15">
        <f t="shared" si="1"/>
        <v>-0.30275937141748405</v>
      </c>
      <c r="O19" t="s">
        <v>118</v>
      </c>
      <c r="P19">
        <v>2000</v>
      </c>
      <c r="Q19" t="s">
        <v>119</v>
      </c>
      <c r="R19" t="s">
        <v>120</v>
      </c>
      <c r="T19">
        <f t="shared" si="4"/>
        <v>80</v>
      </c>
      <c r="U19" s="15">
        <f t="shared" si="2"/>
        <v>-0.96596145698387614</v>
      </c>
      <c r="V19" s="8">
        <f t="shared" si="3"/>
        <v>0.2454203211313386</v>
      </c>
    </row>
    <row r="20" spans="1:22" x14ac:dyDescent="0.25">
      <c r="A20" t="s">
        <v>99</v>
      </c>
      <c r="D20" t="s">
        <v>70</v>
      </c>
      <c r="E20" t="s">
        <v>121</v>
      </c>
      <c r="J20">
        <v>55</v>
      </c>
      <c r="K20">
        <v>2</v>
      </c>
      <c r="M20">
        <f t="shared" si="0"/>
        <v>0.3010299956639812</v>
      </c>
      <c r="N20" s="15">
        <f t="shared" si="1"/>
        <v>0.30942716910533952</v>
      </c>
      <c r="O20" t="s">
        <v>118</v>
      </c>
      <c r="P20">
        <v>2000</v>
      </c>
      <c r="Q20" t="s">
        <v>119</v>
      </c>
      <c r="R20" t="s">
        <v>120</v>
      </c>
      <c r="T20">
        <f t="shared" si="4"/>
        <v>85</v>
      </c>
      <c r="U20" s="15">
        <f t="shared" si="2"/>
        <v>-1.2210391822017193</v>
      </c>
      <c r="V20" s="8">
        <f t="shared" si="3"/>
        <v>-9.6574040865045063E-3</v>
      </c>
    </row>
    <row r="21" spans="1:22" x14ac:dyDescent="0.25">
      <c r="A21" t="s">
        <v>99</v>
      </c>
      <c r="D21" t="s">
        <v>70</v>
      </c>
      <c r="E21" t="s">
        <v>121</v>
      </c>
      <c r="J21">
        <v>60</v>
      </c>
      <c r="K21">
        <v>2.7027027027027031</v>
      </c>
      <c r="M21">
        <f t="shared" si="0"/>
        <v>0.43179827593300507</v>
      </c>
      <c r="N21" s="15">
        <f t="shared" si="1"/>
        <v>5.4349443887496296E-2</v>
      </c>
      <c r="O21" t="s">
        <v>118</v>
      </c>
      <c r="P21">
        <v>2000</v>
      </c>
      <c r="Q21" t="s">
        <v>119</v>
      </c>
      <c r="R21" t="s">
        <v>120</v>
      </c>
      <c r="T21">
        <f t="shared" si="4"/>
        <v>90</v>
      </c>
      <c r="U21" s="15">
        <f t="shared" si="2"/>
        <v>-1.4761169074195624</v>
      </c>
      <c r="V21" s="8">
        <f t="shared" si="3"/>
        <v>-0.26473512930434762</v>
      </c>
    </row>
    <row r="22" spans="1:22" x14ac:dyDescent="0.25">
      <c r="A22" t="s">
        <v>99</v>
      </c>
      <c r="D22" t="s">
        <v>70</v>
      </c>
      <c r="E22" t="s">
        <v>121</v>
      </c>
      <c r="J22">
        <v>65</v>
      </c>
      <c r="K22">
        <v>1.1363636363636362</v>
      </c>
      <c r="M22">
        <f t="shared" si="0"/>
        <v>5.5517327849831329E-2</v>
      </c>
      <c r="N22" s="15">
        <f t="shared" si="1"/>
        <v>-0.20072828133034681</v>
      </c>
      <c r="O22" t="s">
        <v>118</v>
      </c>
      <c r="P22">
        <v>2000</v>
      </c>
      <c r="Q22" t="s">
        <v>119</v>
      </c>
      <c r="R22" t="s">
        <v>120</v>
      </c>
      <c r="T22">
        <f t="shared" si="4"/>
        <v>95</v>
      </c>
      <c r="U22" s="15">
        <f t="shared" si="2"/>
        <v>-1.7311946326374057</v>
      </c>
      <c r="V22" s="8">
        <f t="shared" si="3"/>
        <v>-0.51981285452219095</v>
      </c>
    </row>
    <row r="23" spans="1:22" x14ac:dyDescent="0.25">
      <c r="A23" t="s">
        <v>99</v>
      </c>
      <c r="D23" t="s">
        <v>70</v>
      </c>
      <c r="E23" t="s">
        <v>121</v>
      </c>
      <c r="J23">
        <v>67</v>
      </c>
      <c r="K23">
        <v>0.53078865578865575</v>
      </c>
      <c r="M23">
        <f t="shared" si="0"/>
        <v>-0.27507836761060872</v>
      </c>
      <c r="N23" s="15">
        <f t="shared" si="1"/>
        <v>-0.30275937141748405</v>
      </c>
      <c r="O23" t="s">
        <v>118</v>
      </c>
      <c r="P23">
        <v>2000</v>
      </c>
      <c r="Q23" t="s">
        <v>119</v>
      </c>
      <c r="R23" t="s">
        <v>120</v>
      </c>
      <c r="T23">
        <f t="shared" si="4"/>
        <v>100</v>
      </c>
      <c r="U23" s="15">
        <f t="shared" si="2"/>
        <v>-1.9862723578552488</v>
      </c>
      <c r="V23" s="8">
        <f t="shared" si="3"/>
        <v>-0.77489057974003406</v>
      </c>
    </row>
    <row r="24" spans="1:22" x14ac:dyDescent="0.25">
      <c r="A24" t="s">
        <v>99</v>
      </c>
      <c r="D24" t="s">
        <v>70</v>
      </c>
      <c r="E24" t="s">
        <v>121</v>
      </c>
      <c r="J24">
        <v>70</v>
      </c>
      <c r="K24">
        <v>0.2857142857142857</v>
      </c>
      <c r="M24">
        <f t="shared" si="0"/>
        <v>-0.54406804435027567</v>
      </c>
      <c r="N24" s="15">
        <f t="shared" si="1"/>
        <v>-0.45580600654818992</v>
      </c>
      <c r="O24" t="s">
        <v>118</v>
      </c>
      <c r="P24">
        <v>2000</v>
      </c>
      <c r="Q24" t="s">
        <v>119</v>
      </c>
      <c r="R24" t="s">
        <v>120</v>
      </c>
      <c r="T24">
        <f t="shared" si="4"/>
        <v>105</v>
      </c>
      <c r="U24" s="15">
        <f t="shared" si="2"/>
        <v>-2.2413500830730921</v>
      </c>
      <c r="V24" s="8">
        <f t="shared" si="3"/>
        <v>-1.0299683049578774</v>
      </c>
    </row>
    <row r="25" spans="1:22" x14ac:dyDescent="0.25">
      <c r="A25" t="s">
        <v>99</v>
      </c>
      <c r="D25" t="s">
        <v>70</v>
      </c>
      <c r="E25" t="s">
        <v>121</v>
      </c>
      <c r="J25">
        <v>55</v>
      </c>
      <c r="K25">
        <f>5/7</f>
        <v>0.7142857142857143</v>
      </c>
      <c r="M25">
        <f t="shared" si="0"/>
        <v>-0.14612803567823801</v>
      </c>
      <c r="N25" s="15">
        <f t="shared" si="1"/>
        <v>0.30942716910533952</v>
      </c>
      <c r="O25" t="s">
        <v>122</v>
      </c>
      <c r="P25">
        <v>1959</v>
      </c>
      <c r="Q25" t="s">
        <v>123</v>
      </c>
      <c r="T25">
        <f t="shared" si="4"/>
        <v>110</v>
      </c>
      <c r="U25" s="15">
        <f t="shared" si="2"/>
        <v>-2.4964278082909348</v>
      </c>
      <c r="V25" s="8">
        <f t="shared" si="3"/>
        <v>-1.2850460301757201</v>
      </c>
    </row>
    <row r="26" spans="1:22" x14ac:dyDescent="0.25">
      <c r="A26" t="s">
        <v>99</v>
      </c>
      <c r="D26" t="s">
        <v>70</v>
      </c>
      <c r="E26" t="s">
        <v>121</v>
      </c>
      <c r="I26">
        <v>7.5</v>
      </c>
      <c r="J26">
        <v>49</v>
      </c>
      <c r="K26">
        <v>60</v>
      </c>
      <c r="M26">
        <f>LOG10(K26)</f>
        <v>1.7781512503836436</v>
      </c>
      <c r="N26" s="15">
        <f t="shared" si="1"/>
        <v>0.61552043936675127</v>
      </c>
      <c r="O26" t="s">
        <v>122</v>
      </c>
      <c r="P26">
        <v>1957</v>
      </c>
      <c r="Q26" t="s">
        <v>124</v>
      </c>
      <c r="R26" t="s">
        <v>125</v>
      </c>
      <c r="T26">
        <f t="shared" si="4"/>
        <v>115</v>
      </c>
      <c r="U26" s="15">
        <f t="shared" si="2"/>
        <v>-2.7515055335087784</v>
      </c>
      <c r="V26" s="8">
        <f t="shared" si="3"/>
        <v>-1.5401237553935636</v>
      </c>
    </row>
    <row r="27" spans="1:22" x14ac:dyDescent="0.25">
      <c r="A27" t="s">
        <v>99</v>
      </c>
      <c r="D27" t="s">
        <v>70</v>
      </c>
      <c r="E27" t="s">
        <v>121</v>
      </c>
      <c r="I27">
        <v>7.5</v>
      </c>
      <c r="J27">
        <v>55</v>
      </c>
      <c r="K27">
        <v>2</v>
      </c>
      <c r="M27">
        <f t="shared" ref="M27:M28" si="5">LOG10(K27)</f>
        <v>0.3010299956639812</v>
      </c>
      <c r="N27" s="15">
        <f t="shared" si="1"/>
        <v>0.30942716910533952</v>
      </c>
      <c r="O27" t="s">
        <v>122</v>
      </c>
      <c r="P27">
        <v>1957</v>
      </c>
      <c r="Q27" t="s">
        <v>124</v>
      </c>
      <c r="R27" t="s">
        <v>125</v>
      </c>
      <c r="T27">
        <f t="shared" si="4"/>
        <v>120</v>
      </c>
      <c r="U27" s="15">
        <f t="shared" si="2"/>
        <v>-3.0065832587266215</v>
      </c>
      <c r="V27" s="8">
        <f t="shared" si="3"/>
        <v>-1.7952014806114067</v>
      </c>
    </row>
    <row r="28" spans="1:22" x14ac:dyDescent="0.25">
      <c r="A28" t="s">
        <v>99</v>
      </c>
      <c r="D28" t="s">
        <v>70</v>
      </c>
      <c r="E28" t="s">
        <v>121</v>
      </c>
      <c r="I28">
        <v>7.5</v>
      </c>
      <c r="J28">
        <v>61</v>
      </c>
      <c r="K28">
        <v>0.5</v>
      </c>
      <c r="M28">
        <f t="shared" si="5"/>
        <v>-0.3010299956639812</v>
      </c>
      <c r="N28" s="15">
        <f t="shared" si="1"/>
        <v>3.3338988439277073E-3</v>
      </c>
      <c r="O28" t="s">
        <v>122</v>
      </c>
      <c r="P28">
        <v>1957</v>
      </c>
      <c r="Q28" t="s">
        <v>124</v>
      </c>
      <c r="R28" t="s">
        <v>125</v>
      </c>
    </row>
    <row r="29" spans="1:22" x14ac:dyDescent="0.25">
      <c r="A29" t="s">
        <v>99</v>
      </c>
      <c r="B29" t="s">
        <v>126</v>
      </c>
      <c r="D29" t="s">
        <v>126</v>
      </c>
      <c r="E29" t="s">
        <v>126</v>
      </c>
      <c r="J29">
        <v>49</v>
      </c>
      <c r="K29">
        <v>60</v>
      </c>
      <c r="M29">
        <f t="shared" si="0"/>
        <v>1.7781512503836436</v>
      </c>
      <c r="N29" s="15">
        <f t="shared" si="1"/>
        <v>0.61552043936675127</v>
      </c>
      <c r="O29" t="s">
        <v>127</v>
      </c>
      <c r="P29">
        <v>2017</v>
      </c>
      <c r="Q29" t="s">
        <v>128</v>
      </c>
      <c r="R29" s="10" t="s">
        <v>129</v>
      </c>
    </row>
    <row r="30" spans="1:22" x14ac:dyDescent="0.25">
      <c r="A30" t="s">
        <v>99</v>
      </c>
      <c r="J30">
        <v>61</v>
      </c>
      <c r="K30">
        <f>3/60</f>
        <v>0.05</v>
      </c>
      <c r="M30">
        <f t="shared" si="0"/>
        <v>-1.3010299956639813</v>
      </c>
      <c r="N30" s="15">
        <f t="shared" si="1"/>
        <v>3.3338988439277073E-3</v>
      </c>
      <c r="O30" t="s">
        <v>127</v>
      </c>
      <c r="P30">
        <v>2017</v>
      </c>
      <c r="Q30" t="s">
        <v>128</v>
      </c>
    </row>
    <row r="31" spans="1:22" x14ac:dyDescent="0.25">
      <c r="A31" t="s">
        <v>99</v>
      </c>
      <c r="D31" t="s">
        <v>113</v>
      </c>
      <c r="E31" t="s">
        <v>113</v>
      </c>
      <c r="I31">
        <v>6.7</v>
      </c>
      <c r="J31">
        <v>72</v>
      </c>
      <c r="K31">
        <f>(17/60)/5</f>
        <v>5.6666666666666664E-2</v>
      </c>
      <c r="M31">
        <f t="shared" si="0"/>
        <v>-1.2466723333413885</v>
      </c>
      <c r="N31" s="15">
        <f t="shared" si="1"/>
        <v>-0.55783709663532721</v>
      </c>
      <c r="O31" t="s">
        <v>130</v>
      </c>
      <c r="P31">
        <v>2008</v>
      </c>
      <c r="Q31" t="s">
        <v>131</v>
      </c>
      <c r="R31" t="s">
        <v>132</v>
      </c>
    </row>
    <row r="32" spans="1:22" x14ac:dyDescent="0.25">
      <c r="A32" t="s">
        <v>99</v>
      </c>
      <c r="D32" t="s">
        <v>113</v>
      </c>
      <c r="E32" t="s">
        <v>113</v>
      </c>
      <c r="I32">
        <v>7.6</v>
      </c>
      <c r="J32">
        <v>72</v>
      </c>
      <c r="K32">
        <f>(55/60)/5</f>
        <v>0.18333333333333332</v>
      </c>
      <c r="M32">
        <f t="shared" si="0"/>
        <v>-0.7367585652254186</v>
      </c>
      <c r="N32" s="15">
        <f t="shared" si="1"/>
        <v>-0.55783709663532721</v>
      </c>
      <c r="O32" t="s">
        <v>130</v>
      </c>
      <c r="P32">
        <v>2008</v>
      </c>
      <c r="Q32" t="s">
        <v>131</v>
      </c>
    </row>
    <row r="33" spans="1:18" x14ac:dyDescent="0.25">
      <c r="A33" t="s">
        <v>99</v>
      </c>
      <c r="D33" t="s">
        <v>113</v>
      </c>
      <c r="E33" t="s">
        <v>113</v>
      </c>
      <c r="J33">
        <v>63</v>
      </c>
      <c r="K33">
        <f>30/2</f>
        <v>15</v>
      </c>
      <c r="M33">
        <f t="shared" si="0"/>
        <v>1.1760912590556813</v>
      </c>
      <c r="N33" s="15">
        <f t="shared" si="1"/>
        <v>-9.8697191243209526E-2</v>
      </c>
      <c r="O33" t="s">
        <v>133</v>
      </c>
      <c r="P33">
        <v>2011</v>
      </c>
      <c r="Q33" t="s">
        <v>134</v>
      </c>
    </row>
    <row r="34" spans="1:18" x14ac:dyDescent="0.25">
      <c r="A34" t="s">
        <v>99</v>
      </c>
      <c r="D34" t="s">
        <v>113</v>
      </c>
      <c r="E34" t="s">
        <v>113</v>
      </c>
      <c r="J34">
        <v>85</v>
      </c>
      <c r="K34">
        <f>0.5/5.4</f>
        <v>9.2592592592592587E-2</v>
      </c>
      <c r="M34">
        <f t="shared" si="0"/>
        <v>-1.0334237554869496</v>
      </c>
      <c r="N34" s="15">
        <f t="shared" si="1"/>
        <v>-1.2210391822017193</v>
      </c>
      <c r="O34" t="s">
        <v>135</v>
      </c>
      <c r="P34">
        <v>2008</v>
      </c>
      <c r="R34" t="s">
        <v>136</v>
      </c>
    </row>
    <row r="35" spans="1:18" x14ac:dyDescent="0.25">
      <c r="A35" t="s">
        <v>99</v>
      </c>
      <c r="B35" t="s">
        <v>137</v>
      </c>
      <c r="D35" t="s">
        <v>138</v>
      </c>
      <c r="E35" t="s">
        <v>139</v>
      </c>
      <c r="J35">
        <v>50</v>
      </c>
      <c r="K35">
        <v>12.2</v>
      </c>
      <c r="M35">
        <f t="shared" si="0"/>
        <v>1.0863598306747482</v>
      </c>
      <c r="N35" s="15">
        <f t="shared" si="1"/>
        <v>0.56450489432318252</v>
      </c>
      <c r="O35" t="s">
        <v>140</v>
      </c>
      <c r="P35">
        <v>2007</v>
      </c>
      <c r="Q35" t="s">
        <v>141</v>
      </c>
      <c r="R35" t="s">
        <v>142</v>
      </c>
    </row>
    <row r="36" spans="1:18" x14ac:dyDescent="0.25">
      <c r="A36" t="s">
        <v>99</v>
      </c>
      <c r="B36" t="s">
        <v>137</v>
      </c>
      <c r="D36" t="s">
        <v>138</v>
      </c>
      <c r="E36" t="s">
        <v>139</v>
      </c>
      <c r="J36">
        <v>50</v>
      </c>
      <c r="K36">
        <v>21.25</v>
      </c>
      <c r="M36">
        <f t="shared" si="0"/>
        <v>1.3273589343863303</v>
      </c>
      <c r="N36" s="15">
        <f t="shared" si="1"/>
        <v>0.56450489432318252</v>
      </c>
      <c r="O36" t="s">
        <v>140</v>
      </c>
      <c r="P36">
        <v>2007</v>
      </c>
      <c r="Q36" t="s">
        <v>141</v>
      </c>
      <c r="R36" t="s">
        <v>142</v>
      </c>
    </row>
    <row r="37" spans="1:18" x14ac:dyDescent="0.25">
      <c r="A37" t="s">
        <v>99</v>
      </c>
      <c r="B37" t="s">
        <v>137</v>
      </c>
      <c r="D37" t="s">
        <v>138</v>
      </c>
      <c r="E37" t="s">
        <v>139</v>
      </c>
      <c r="J37">
        <v>60</v>
      </c>
      <c r="K37">
        <v>0.27283333333333337</v>
      </c>
      <c r="M37">
        <f t="shared" si="0"/>
        <v>-0.56410257097170213</v>
      </c>
      <c r="N37" s="15">
        <f t="shared" si="1"/>
        <v>5.4349443887496296E-2</v>
      </c>
      <c r="O37" t="s">
        <v>140</v>
      </c>
      <c r="P37">
        <v>2007</v>
      </c>
      <c r="Q37" t="s">
        <v>141</v>
      </c>
      <c r="R37" t="s">
        <v>142</v>
      </c>
    </row>
    <row r="38" spans="1:18" x14ac:dyDescent="0.25">
      <c r="A38" t="s">
        <v>99</v>
      </c>
      <c r="B38" t="s">
        <v>137</v>
      </c>
      <c r="D38" t="s">
        <v>138</v>
      </c>
      <c r="E38" t="s">
        <v>139</v>
      </c>
      <c r="J38">
        <v>60</v>
      </c>
      <c r="K38">
        <v>0.7</v>
      </c>
      <c r="M38">
        <f t="shared" si="0"/>
        <v>-0.15490195998574319</v>
      </c>
      <c r="N38" s="15">
        <f t="shared" si="1"/>
        <v>5.4349443887496296E-2</v>
      </c>
      <c r="O38" t="s">
        <v>140</v>
      </c>
      <c r="P38">
        <v>2007</v>
      </c>
      <c r="Q38" t="s">
        <v>141</v>
      </c>
      <c r="R38" t="s">
        <v>142</v>
      </c>
    </row>
    <row r="39" spans="1:18" x14ac:dyDescent="0.25">
      <c r="A39" t="s">
        <v>99</v>
      </c>
      <c r="B39" t="s">
        <v>137</v>
      </c>
      <c r="D39" t="s">
        <v>138</v>
      </c>
      <c r="E39" t="s">
        <v>139</v>
      </c>
      <c r="J39">
        <v>70</v>
      </c>
      <c r="K39">
        <v>0.10099999999999999</v>
      </c>
      <c r="M39">
        <f t="shared" si="0"/>
        <v>-0.99567862621735748</v>
      </c>
      <c r="N39" s="15">
        <f t="shared" si="1"/>
        <v>-0.45580600654818992</v>
      </c>
      <c r="O39" t="s">
        <v>140</v>
      </c>
      <c r="P39">
        <v>2007</v>
      </c>
      <c r="Q39" t="s">
        <v>141</v>
      </c>
      <c r="R39" t="s">
        <v>142</v>
      </c>
    </row>
    <row r="40" spans="1:18" x14ac:dyDescent="0.25">
      <c r="A40" t="s">
        <v>99</v>
      </c>
      <c r="B40" t="s">
        <v>137</v>
      </c>
      <c r="D40" t="s">
        <v>138</v>
      </c>
      <c r="E40" t="s">
        <v>139</v>
      </c>
      <c r="J40">
        <v>70</v>
      </c>
      <c r="K40">
        <v>0.18116666666666664</v>
      </c>
      <c r="M40">
        <f t="shared" si="0"/>
        <v>-0.7419217062973491</v>
      </c>
      <c r="N40" s="15">
        <f t="shared" si="1"/>
        <v>-0.45580600654818992</v>
      </c>
      <c r="O40" t="s">
        <v>140</v>
      </c>
      <c r="P40">
        <v>2007</v>
      </c>
      <c r="Q40" t="s">
        <v>141</v>
      </c>
      <c r="R40" t="s">
        <v>142</v>
      </c>
    </row>
    <row r="41" spans="1:18" x14ac:dyDescent="0.25">
      <c r="A41" t="s">
        <v>99</v>
      </c>
      <c r="B41" t="s">
        <v>137</v>
      </c>
      <c r="D41" t="s">
        <v>138</v>
      </c>
      <c r="E41" t="s">
        <v>139</v>
      </c>
      <c r="J41">
        <v>80</v>
      </c>
      <c r="K41">
        <v>4.7333333333333331E-2</v>
      </c>
      <c r="M41">
        <f t="shared" si="0"/>
        <v>-1.3248329103366059</v>
      </c>
      <c r="N41" s="15">
        <f t="shared" si="1"/>
        <v>-0.96596145698387614</v>
      </c>
      <c r="O41" t="s">
        <v>140</v>
      </c>
      <c r="P41">
        <v>2007</v>
      </c>
      <c r="Q41" t="s">
        <v>141</v>
      </c>
      <c r="R41" t="s">
        <v>142</v>
      </c>
    </row>
    <row r="42" spans="1:18" x14ac:dyDescent="0.25">
      <c r="A42" t="s">
        <v>99</v>
      </c>
      <c r="B42" t="s">
        <v>137</v>
      </c>
      <c r="D42" t="s">
        <v>138</v>
      </c>
      <c r="E42" t="s">
        <v>139</v>
      </c>
      <c r="J42">
        <v>80</v>
      </c>
      <c r="K42">
        <v>9.9833333333333343E-2</v>
      </c>
      <c r="M42">
        <f t="shared" si="0"/>
        <v>-1.0007244279943321</v>
      </c>
      <c r="N42" s="15">
        <f t="shared" si="1"/>
        <v>-0.96596145698387614</v>
      </c>
      <c r="O42" t="s">
        <v>140</v>
      </c>
      <c r="P42">
        <v>2007</v>
      </c>
      <c r="Q42" t="s">
        <v>141</v>
      </c>
      <c r="R42" t="s">
        <v>142</v>
      </c>
    </row>
    <row r="43" spans="1:18" x14ac:dyDescent="0.25">
      <c r="A43" t="s">
        <v>99</v>
      </c>
      <c r="B43" t="s">
        <v>137</v>
      </c>
      <c r="D43" t="s">
        <v>138</v>
      </c>
      <c r="E43" t="s">
        <v>139</v>
      </c>
      <c r="J43">
        <v>90</v>
      </c>
      <c r="K43">
        <v>2.75E-2</v>
      </c>
      <c r="M43">
        <f t="shared" si="0"/>
        <v>-1.5606673061697374</v>
      </c>
      <c r="N43" s="15">
        <f t="shared" si="1"/>
        <v>-1.4761169074195624</v>
      </c>
      <c r="O43" t="s">
        <v>140</v>
      </c>
      <c r="P43">
        <v>2007</v>
      </c>
      <c r="Q43" t="s">
        <v>141</v>
      </c>
      <c r="R43" t="s">
        <v>142</v>
      </c>
    </row>
    <row r="44" spans="1:18" x14ac:dyDescent="0.25">
      <c r="A44" t="s">
        <v>99</v>
      </c>
      <c r="B44" t="s">
        <v>137</v>
      </c>
      <c r="D44" t="s">
        <v>138</v>
      </c>
      <c r="E44" t="s">
        <v>139</v>
      </c>
      <c r="J44">
        <v>90</v>
      </c>
      <c r="K44">
        <v>5.3000000000000005E-2</v>
      </c>
      <c r="M44">
        <f t="shared" si="0"/>
        <v>-1.2757241303992108</v>
      </c>
      <c r="N44" s="15">
        <f t="shared" si="1"/>
        <v>-1.4761169074195624</v>
      </c>
      <c r="O44" t="s">
        <v>140</v>
      </c>
      <c r="P44">
        <v>2007</v>
      </c>
      <c r="Q44" t="s">
        <v>141</v>
      </c>
      <c r="R44" t="s">
        <v>142</v>
      </c>
    </row>
    <row r="45" spans="1:18" x14ac:dyDescent="0.25">
      <c r="A45" t="s">
        <v>99</v>
      </c>
      <c r="B45" t="s">
        <v>137</v>
      </c>
      <c r="D45" t="s">
        <v>138</v>
      </c>
      <c r="E45" t="s">
        <v>139</v>
      </c>
      <c r="J45">
        <v>100</v>
      </c>
      <c r="K45">
        <v>3.1666666666666662E-2</v>
      </c>
      <c r="M45">
        <f t="shared" si="0"/>
        <v>-1.4993976494308148</v>
      </c>
      <c r="N45" s="15">
        <f t="shared" si="1"/>
        <v>-1.9862723578552488</v>
      </c>
      <c r="O45" t="s">
        <v>140</v>
      </c>
      <c r="P45">
        <v>2007</v>
      </c>
      <c r="Q45" t="s">
        <v>141</v>
      </c>
      <c r="R45" t="s">
        <v>142</v>
      </c>
    </row>
    <row r="46" spans="1:18" x14ac:dyDescent="0.25">
      <c r="A46" t="s">
        <v>99</v>
      </c>
      <c r="B46" t="s">
        <v>137</v>
      </c>
      <c r="D46" t="s">
        <v>138</v>
      </c>
      <c r="E46" t="s">
        <v>139</v>
      </c>
      <c r="J46">
        <v>100</v>
      </c>
      <c r="K46">
        <v>4.9000000000000002E-2</v>
      </c>
      <c r="M46">
        <f t="shared" si="0"/>
        <v>-1.3098039199714864</v>
      </c>
      <c r="N46" s="15">
        <f t="shared" si="1"/>
        <v>-1.9862723578552488</v>
      </c>
      <c r="O46" t="s">
        <v>140</v>
      </c>
      <c r="P46">
        <v>2007</v>
      </c>
      <c r="Q46" t="s">
        <v>141</v>
      </c>
      <c r="R46" t="s">
        <v>142</v>
      </c>
    </row>
    <row r="47" spans="1:18" x14ac:dyDescent="0.25">
      <c r="A47" t="s">
        <v>99</v>
      </c>
      <c r="E47" t="s">
        <v>126</v>
      </c>
      <c r="I47">
        <v>7.5</v>
      </c>
      <c r="J47">
        <v>61</v>
      </c>
      <c r="K47">
        <v>0.5</v>
      </c>
      <c r="M47">
        <f t="shared" si="0"/>
        <v>-0.3010299956639812</v>
      </c>
      <c r="N47" s="15">
        <f t="shared" si="1"/>
        <v>3.3338988439277073E-3</v>
      </c>
      <c r="O47" t="s">
        <v>143</v>
      </c>
      <c r="P47">
        <v>2002</v>
      </c>
      <c r="Q47" t="s">
        <v>144</v>
      </c>
      <c r="R47" t="s">
        <v>145</v>
      </c>
    </row>
    <row r="48" spans="1:18" x14ac:dyDescent="0.25">
      <c r="A48" t="s">
        <v>99</v>
      </c>
      <c r="E48" t="s">
        <v>126</v>
      </c>
      <c r="J48">
        <v>55</v>
      </c>
      <c r="K48">
        <v>2</v>
      </c>
      <c r="M48">
        <f t="shared" si="0"/>
        <v>0.3010299956639812</v>
      </c>
      <c r="N48" s="15">
        <f t="shared" si="1"/>
        <v>0.30942716910533952</v>
      </c>
      <c r="O48" t="s">
        <v>143</v>
      </c>
      <c r="P48">
        <v>2002</v>
      </c>
      <c r="Q48" t="s">
        <v>144</v>
      </c>
      <c r="R48" t="s">
        <v>145</v>
      </c>
    </row>
    <row r="49" spans="1:18" x14ac:dyDescent="0.25">
      <c r="A49" t="s">
        <v>99</v>
      </c>
      <c r="E49" t="s">
        <v>126</v>
      </c>
      <c r="J49">
        <v>49</v>
      </c>
      <c r="K49">
        <v>60</v>
      </c>
      <c r="M49">
        <f t="shared" si="0"/>
        <v>1.7781512503836436</v>
      </c>
      <c r="N49" s="15">
        <f t="shared" si="1"/>
        <v>0.61552043936675127</v>
      </c>
      <c r="O49" t="s">
        <v>143</v>
      </c>
      <c r="P49">
        <v>2002</v>
      </c>
      <c r="Q49" t="s">
        <v>144</v>
      </c>
      <c r="R49" t="s">
        <v>145</v>
      </c>
    </row>
    <row r="50" spans="1:18" x14ac:dyDescent="0.25">
      <c r="A50" t="s">
        <v>99</v>
      </c>
      <c r="D50" t="s">
        <v>146</v>
      </c>
      <c r="E50" t="s">
        <v>147</v>
      </c>
      <c r="J50">
        <v>70</v>
      </c>
      <c r="K50">
        <f>(0.01*60)/3</f>
        <v>0.19999999999999998</v>
      </c>
      <c r="M50">
        <f t="shared" si="0"/>
        <v>-0.69897000433601886</v>
      </c>
      <c r="N50" s="15">
        <f t="shared" si="1"/>
        <v>-0.45580600654818992</v>
      </c>
      <c r="O50" t="s">
        <v>148</v>
      </c>
      <c r="Q50" t="s">
        <v>149</v>
      </c>
      <c r="R50" t="s">
        <v>150</v>
      </c>
    </row>
    <row r="51" spans="1:18" x14ac:dyDescent="0.25">
      <c r="A51" t="s">
        <v>99</v>
      </c>
      <c r="J51">
        <v>56</v>
      </c>
      <c r="K51">
        <f>(0.1*60)/3</f>
        <v>2</v>
      </c>
      <c r="M51">
        <f t="shared" si="0"/>
        <v>0.3010299956639812</v>
      </c>
      <c r="N51" s="15">
        <f t="shared" si="1"/>
        <v>0.25841162406177087</v>
      </c>
      <c r="O51" t="s">
        <v>148</v>
      </c>
      <c r="Q51" t="s">
        <v>149</v>
      </c>
      <c r="R51" t="s">
        <v>150</v>
      </c>
    </row>
    <row r="52" spans="1:18" x14ac:dyDescent="0.25">
      <c r="O52" t="s">
        <v>151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2"/>
  <sheetViews>
    <sheetView topLeftCell="A55" workbookViewId="0">
      <selection activeCell="F87" sqref="F87"/>
    </sheetView>
  </sheetViews>
  <sheetFormatPr baseColWidth="10" defaultColWidth="9.140625" defaultRowHeight="15" x14ac:dyDescent="0.25"/>
  <cols>
    <col min="5" max="5" width="23.28515625" bestFit="1" customWidth="1"/>
    <col min="15" max="15" width="12.42578125" bestFit="1" customWidth="1"/>
    <col min="18" max="18" width="33.42578125" customWidth="1"/>
    <col min="20" max="20" width="11.5703125" customWidth="1"/>
    <col min="21" max="21" width="9.7109375" bestFit="1" customWidth="1"/>
    <col min="26" max="26" width="12.140625" customWidth="1"/>
    <col min="27" max="27" width="9.7109375" bestFit="1" customWidth="1"/>
    <col min="29" max="29" width="20.140625" bestFit="1" customWidth="1"/>
    <col min="30" max="30" width="15.7109375" bestFit="1" customWidth="1"/>
    <col min="31" max="31" width="32.42578125" bestFit="1" customWidth="1"/>
    <col min="32" max="32" width="29.42578125" bestFit="1" customWidth="1"/>
  </cols>
  <sheetData>
    <row r="1" spans="1:32" s="6" customFormat="1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96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152</v>
      </c>
      <c r="N1" s="5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T1" s="14" t="s">
        <v>18</v>
      </c>
      <c r="Z1" s="26" t="s">
        <v>19</v>
      </c>
      <c r="AA1" s="27"/>
      <c r="AB1" s="27"/>
      <c r="AC1" s="27"/>
      <c r="AD1" s="27"/>
      <c r="AE1" s="27"/>
      <c r="AF1" s="28"/>
    </row>
    <row r="2" spans="1:32" x14ac:dyDescent="0.25">
      <c r="A2" t="s">
        <v>153</v>
      </c>
      <c r="B2" t="s">
        <v>154</v>
      </c>
      <c r="C2" t="s">
        <v>22</v>
      </c>
      <c r="D2" t="s">
        <v>23</v>
      </c>
      <c r="E2" t="s">
        <v>24</v>
      </c>
      <c r="J2">
        <v>61.1</v>
      </c>
      <c r="K2">
        <v>1.1000000000000001</v>
      </c>
      <c r="M2">
        <f>LOG10(K2)</f>
        <v>4.1392685158225077E-2</v>
      </c>
      <c r="N2" s="15">
        <f>$U$8-(J2-$U$4)/$U$3</f>
        <v>-0.13378838760448719</v>
      </c>
      <c r="O2" t="s">
        <v>26</v>
      </c>
      <c r="P2">
        <v>2013</v>
      </c>
      <c r="R2" t="s">
        <v>27</v>
      </c>
      <c r="T2" t="s">
        <v>28</v>
      </c>
      <c r="U2" t="s">
        <v>29</v>
      </c>
      <c r="Z2" s="29" t="s">
        <v>28</v>
      </c>
      <c r="AA2" t="s">
        <v>30</v>
      </c>
      <c r="AF2" s="30"/>
    </row>
    <row r="3" spans="1:32" x14ac:dyDescent="0.25">
      <c r="A3" t="s">
        <v>153</v>
      </c>
      <c r="B3" t="s">
        <v>154</v>
      </c>
      <c r="C3" t="s">
        <v>22</v>
      </c>
      <c r="D3" t="s">
        <v>23</v>
      </c>
      <c r="E3" t="s">
        <v>24</v>
      </c>
      <c r="J3">
        <v>62.2</v>
      </c>
      <c r="K3">
        <v>0.53</v>
      </c>
      <c r="M3">
        <f t="shared" ref="M3:M57" si="0">LOG10(K3)</f>
        <v>-0.27572413039921095</v>
      </c>
      <c r="N3" s="15">
        <f t="shared" ref="N3:N61" si="1">$U$8-(J3-$U$4)/$U$3</f>
        <v>-0.27932827472906463</v>
      </c>
      <c r="O3" t="s">
        <v>26</v>
      </c>
      <c r="P3">
        <v>2013</v>
      </c>
      <c r="R3" t="s">
        <v>27</v>
      </c>
      <c r="T3" t="s">
        <v>31</v>
      </c>
      <c r="U3" s="8">
        <f>-1/SLOPE(M2:M53,J2:J53)</f>
        <v>7.5580655017166336</v>
      </c>
      <c r="V3" s="8">
        <f>SLOPE(M2:M53,J2:J53)</f>
        <v>-0.13230898829507021</v>
      </c>
      <c r="W3" t="s">
        <v>32</v>
      </c>
      <c r="Z3" s="29" t="s">
        <v>31</v>
      </c>
      <c r="AA3" s="8">
        <f>-1/SLOPE(M2:M61,J2:J61)</f>
        <v>13.451659547229083</v>
      </c>
      <c r="AB3" s="8">
        <f>SLOPE(M2:M61,J2:J61)</f>
        <v>-7.4340269800092493E-2</v>
      </c>
      <c r="AF3" s="30"/>
    </row>
    <row r="4" spans="1:32" x14ac:dyDescent="0.25">
      <c r="A4" t="s">
        <v>153</v>
      </c>
      <c r="B4" t="s">
        <v>154</v>
      </c>
      <c r="C4" t="s">
        <v>22</v>
      </c>
      <c r="D4" t="s">
        <v>23</v>
      </c>
      <c r="E4" t="s">
        <v>33</v>
      </c>
      <c r="J4">
        <v>62.2</v>
      </c>
      <c r="K4">
        <v>1.1000000000000001</v>
      </c>
      <c r="M4">
        <f t="shared" si="0"/>
        <v>4.1392685158225077E-2</v>
      </c>
      <c r="N4" s="15">
        <f t="shared" si="1"/>
        <v>-0.27932827472906463</v>
      </c>
      <c r="O4" t="s">
        <v>26</v>
      </c>
      <c r="P4">
        <v>2013</v>
      </c>
      <c r="R4" t="s">
        <v>27</v>
      </c>
      <c r="T4" t="s">
        <v>34</v>
      </c>
      <c r="U4">
        <v>70</v>
      </c>
      <c r="Z4" s="29" t="s">
        <v>34</v>
      </c>
      <c r="AA4" s="22">
        <v>70</v>
      </c>
      <c r="AF4" s="30"/>
    </row>
    <row r="5" spans="1:32" x14ac:dyDescent="0.25">
      <c r="A5" t="s">
        <v>153</v>
      </c>
      <c r="B5" t="s">
        <v>154</v>
      </c>
      <c r="C5" t="s">
        <v>22</v>
      </c>
      <c r="D5" t="s">
        <v>23</v>
      </c>
      <c r="E5" t="s">
        <v>33</v>
      </c>
      <c r="J5">
        <v>63.3</v>
      </c>
      <c r="K5">
        <v>1</v>
      </c>
      <c r="M5">
        <f t="shared" si="0"/>
        <v>0</v>
      </c>
      <c r="N5" s="15">
        <f t="shared" si="1"/>
        <v>-0.42486816185364107</v>
      </c>
      <c r="O5" t="s">
        <v>26</v>
      </c>
      <c r="P5">
        <v>2013</v>
      </c>
      <c r="R5" t="s">
        <v>27</v>
      </c>
      <c r="T5" t="s">
        <v>35</v>
      </c>
      <c r="U5" s="8">
        <f>TINV(0.05,COUNT(M2:M53)-2)</f>
        <v>2.0085591121007611</v>
      </c>
      <c r="Z5" s="29" t="s">
        <v>35</v>
      </c>
      <c r="AA5" s="8">
        <f>TINV(0.05,COUNT(M2:M61)-2)</f>
        <v>2.0017174841452352</v>
      </c>
      <c r="AF5" s="30"/>
    </row>
    <row r="6" spans="1:32" x14ac:dyDescent="0.25">
      <c r="A6" t="s">
        <v>153</v>
      </c>
      <c r="B6" t="s">
        <v>154</v>
      </c>
      <c r="C6" t="s">
        <v>22</v>
      </c>
      <c r="D6" t="s">
        <v>23</v>
      </c>
      <c r="E6" t="s">
        <v>36</v>
      </c>
      <c r="J6">
        <v>60</v>
      </c>
      <c r="K6">
        <v>0.86</v>
      </c>
      <c r="M6">
        <f t="shared" si="0"/>
        <v>-6.5501548756432285E-2</v>
      </c>
      <c r="N6" s="15">
        <f t="shared" si="1"/>
        <v>1.1751499520090247E-2</v>
      </c>
      <c r="O6" t="s">
        <v>26</v>
      </c>
      <c r="P6">
        <v>2013</v>
      </c>
      <c r="R6" t="s">
        <v>27</v>
      </c>
      <c r="T6" t="s">
        <v>37</v>
      </c>
      <c r="U6" s="8">
        <f>SUMXMY2(M2:M53,N2:N53)</f>
        <v>4.980429043369317</v>
      </c>
      <c r="Z6" s="29" t="s">
        <v>37</v>
      </c>
      <c r="AA6" s="8">
        <f>SUMXMY2(M2:M61,N2:N61)</f>
        <v>32.989511657854905</v>
      </c>
      <c r="AF6" s="30"/>
    </row>
    <row r="7" spans="1:32" x14ac:dyDescent="0.25">
      <c r="A7" t="s">
        <v>153</v>
      </c>
      <c r="B7" t="s">
        <v>154</v>
      </c>
      <c r="C7" t="s">
        <v>22</v>
      </c>
      <c r="D7" t="s">
        <v>23</v>
      </c>
      <c r="E7" t="s">
        <v>36</v>
      </c>
      <c r="J7">
        <v>61.1</v>
      </c>
      <c r="K7">
        <v>0.5</v>
      </c>
      <c r="M7">
        <f t="shared" si="0"/>
        <v>-0.3010299956639812</v>
      </c>
      <c r="N7" s="15">
        <f t="shared" si="1"/>
        <v>-0.13378838760448719</v>
      </c>
      <c r="O7" t="s">
        <v>26</v>
      </c>
      <c r="P7">
        <v>2013</v>
      </c>
      <c r="R7" t="s">
        <v>27</v>
      </c>
      <c r="T7" t="s">
        <v>38</v>
      </c>
      <c r="U7" s="8">
        <f>SQRT(U6/(COUNT(M2:M53)-2))</f>
        <v>0.31560827122777746</v>
      </c>
      <c r="Z7" s="29" t="s">
        <v>38</v>
      </c>
      <c r="AA7" s="8">
        <f>SQRT(AA6/(COUNT(M2:M61)-2))</f>
        <v>0.75417815120574727</v>
      </c>
      <c r="AE7" s="20" t="s">
        <v>39</v>
      </c>
      <c r="AF7" s="30" t="s">
        <v>40</v>
      </c>
    </row>
    <row r="8" spans="1:32" x14ac:dyDescent="0.25">
      <c r="A8" t="s">
        <v>153</v>
      </c>
      <c r="B8" t="s">
        <v>154</v>
      </c>
      <c r="C8" t="s">
        <v>22</v>
      </c>
      <c r="D8" t="s">
        <v>23</v>
      </c>
      <c r="E8" t="s">
        <v>41</v>
      </c>
      <c r="J8">
        <v>62.2</v>
      </c>
      <c r="K8">
        <v>1</v>
      </c>
      <c r="M8">
        <f t="shared" si="0"/>
        <v>0</v>
      </c>
      <c r="N8" s="15">
        <f t="shared" si="1"/>
        <v>-0.27932827472906463</v>
      </c>
      <c r="O8" t="s">
        <v>26</v>
      </c>
      <c r="P8">
        <v>2013</v>
      </c>
      <c r="R8" t="s">
        <v>27</v>
      </c>
      <c r="T8" t="s">
        <v>42</v>
      </c>
      <c r="U8" s="8">
        <f>INTERCEPT(M2:M53,J2:J53)-U4/U3</f>
        <v>-1.3113383834306118</v>
      </c>
      <c r="V8" s="8">
        <f>INTERCEPT(M2:M53,J2:J53)</f>
        <v>7.9502907972243024</v>
      </c>
      <c r="W8" t="s">
        <v>43</v>
      </c>
      <c r="X8" s="8"/>
      <c r="Z8" s="29" t="s">
        <v>42</v>
      </c>
      <c r="AA8" s="8">
        <f>INTERCEPT(M2:M61,J2:J61)-AA4/AA3</f>
        <v>-0.44135875237568989</v>
      </c>
      <c r="AB8" s="8">
        <f>INTERCEPT(M2:M61,J2:J61)</f>
        <v>4.7624601336307846</v>
      </c>
      <c r="AC8" t="s">
        <v>44</v>
      </c>
      <c r="AD8" s="8">
        <f>10^AA8</f>
        <v>0.3619438882943008</v>
      </c>
      <c r="AE8" s="21">
        <f>30/AD8</f>
        <v>82.885775862601804</v>
      </c>
      <c r="AF8" s="30"/>
    </row>
    <row r="9" spans="1:32" x14ac:dyDescent="0.25">
      <c r="A9" t="s">
        <v>153</v>
      </c>
      <c r="B9" t="s">
        <v>154</v>
      </c>
      <c r="C9" t="s">
        <v>22</v>
      </c>
      <c r="D9" t="s">
        <v>23</v>
      </c>
      <c r="E9" t="s">
        <v>41</v>
      </c>
      <c r="J9">
        <v>63.3</v>
      </c>
      <c r="K9">
        <v>0.87</v>
      </c>
      <c r="M9">
        <f t="shared" si="0"/>
        <v>-6.0480747381381476E-2</v>
      </c>
      <c r="N9" s="15">
        <f t="shared" si="1"/>
        <v>-0.42486816185364107</v>
      </c>
      <c r="O9" t="s">
        <v>26</v>
      </c>
      <c r="P9">
        <v>2013</v>
      </c>
      <c r="R9" t="s">
        <v>27</v>
      </c>
      <c r="T9" t="s">
        <v>45</v>
      </c>
      <c r="U9" s="8">
        <f>U8+U5*U7</f>
        <v>-0.67742051440169093</v>
      </c>
      <c r="Z9" s="29" t="s">
        <v>45</v>
      </c>
      <c r="AA9" s="31">
        <f>AA8+AA5*AA7</f>
        <v>1.0682928390531834</v>
      </c>
      <c r="AC9" t="s">
        <v>155</v>
      </c>
      <c r="AD9" s="8">
        <f>10^AA9</f>
        <v>11.702882349905426</v>
      </c>
      <c r="AE9" s="21">
        <f>30/AD9</f>
        <v>2.5634710409818346</v>
      </c>
      <c r="AF9" s="30">
        <f>30/AF14</f>
        <v>435.54848723580204</v>
      </c>
    </row>
    <row r="10" spans="1:32" ht="15.75" thickBot="1" x14ac:dyDescent="0.3">
      <c r="A10" t="s">
        <v>153</v>
      </c>
      <c r="B10" t="s">
        <v>156</v>
      </c>
      <c r="C10" t="s">
        <v>22</v>
      </c>
      <c r="D10" t="s">
        <v>57</v>
      </c>
      <c r="E10" t="s">
        <v>58</v>
      </c>
      <c r="I10">
        <v>7.6</v>
      </c>
      <c r="J10">
        <v>55</v>
      </c>
      <c r="K10">
        <v>12.4</v>
      </c>
      <c r="M10">
        <f t="shared" si="0"/>
        <v>1.0934216851622351</v>
      </c>
      <c r="N10" s="15">
        <f t="shared" si="1"/>
        <v>0.67329644099544117</v>
      </c>
      <c r="O10" t="s">
        <v>26</v>
      </c>
      <c r="P10">
        <v>2011</v>
      </c>
      <c r="Q10" t="s">
        <v>59</v>
      </c>
      <c r="R10" t="s">
        <v>157</v>
      </c>
      <c r="Z10" s="32"/>
      <c r="AA10" s="33"/>
      <c r="AB10" s="33"/>
      <c r="AC10" s="33"/>
      <c r="AD10" s="33"/>
      <c r="AE10" s="33"/>
      <c r="AF10" s="34"/>
    </row>
    <row r="11" spans="1:32" x14ac:dyDescent="0.25">
      <c r="A11" t="s">
        <v>153</v>
      </c>
      <c r="B11" t="s">
        <v>156</v>
      </c>
      <c r="C11" t="s">
        <v>22</v>
      </c>
      <c r="D11" t="s">
        <v>57</v>
      </c>
      <c r="E11" t="s">
        <v>58</v>
      </c>
      <c r="I11">
        <v>7.6</v>
      </c>
      <c r="J11">
        <v>56</v>
      </c>
      <c r="K11">
        <v>9.3000000000000007</v>
      </c>
      <c r="M11">
        <f t="shared" si="0"/>
        <v>0.96848294855393513</v>
      </c>
      <c r="N11" s="15">
        <f t="shared" si="1"/>
        <v>0.54098745270037107</v>
      </c>
      <c r="O11" t="s">
        <v>26</v>
      </c>
      <c r="P11">
        <v>2011</v>
      </c>
      <c r="Q11" t="s">
        <v>59</v>
      </c>
      <c r="R11" t="s">
        <v>157</v>
      </c>
      <c r="T11" t="s">
        <v>48</v>
      </c>
      <c r="U11" t="s">
        <v>49</v>
      </c>
      <c r="V11" t="s">
        <v>50</v>
      </c>
      <c r="Z11" t="s">
        <v>48</v>
      </c>
      <c r="AA11" t="s">
        <v>51</v>
      </c>
      <c r="AB11" t="s">
        <v>52</v>
      </c>
      <c r="AE11" s="35"/>
      <c r="AF11" s="36"/>
    </row>
    <row r="12" spans="1:32" x14ac:dyDescent="0.25">
      <c r="A12" t="s">
        <v>153</v>
      </c>
      <c r="B12" t="s">
        <v>156</v>
      </c>
      <c r="C12" t="s">
        <v>22</v>
      </c>
      <c r="D12" t="s">
        <v>57</v>
      </c>
      <c r="E12" t="s">
        <v>58</v>
      </c>
      <c r="I12">
        <v>7.6</v>
      </c>
      <c r="J12">
        <v>56.7</v>
      </c>
      <c r="K12">
        <v>6.2</v>
      </c>
      <c r="M12">
        <f t="shared" si="0"/>
        <v>0.79239168949825389</v>
      </c>
      <c r="N12" s="15">
        <f t="shared" si="1"/>
        <v>0.44837116089382145</v>
      </c>
      <c r="O12" t="s">
        <v>26</v>
      </c>
      <c r="P12">
        <v>2011</v>
      </c>
      <c r="Q12" t="s">
        <v>59</v>
      </c>
      <c r="R12" t="s">
        <v>157</v>
      </c>
      <c r="T12">
        <v>45</v>
      </c>
      <c r="U12" s="15">
        <f>$U$8-(T12-$U$4)/$U$3</f>
        <v>1.9963863239461435</v>
      </c>
      <c r="V12" s="8">
        <f>U12+$U$7*$U$5</f>
        <v>2.6303041929750641</v>
      </c>
      <c r="Z12">
        <v>45</v>
      </c>
      <c r="AA12" s="15">
        <f>$AA$8-(Z12-$AA$4)/$AA$3</f>
        <v>1.4171479926266224</v>
      </c>
      <c r="AB12" s="8">
        <f>AA12+$AA$7*$AA$5</f>
        <v>2.9267995840554955</v>
      </c>
      <c r="AE12" s="29" t="s">
        <v>109</v>
      </c>
      <c r="AF12" s="37">
        <v>100</v>
      </c>
    </row>
    <row r="13" spans="1:32" x14ac:dyDescent="0.25">
      <c r="A13" t="s">
        <v>153</v>
      </c>
      <c r="B13" t="s">
        <v>156</v>
      </c>
      <c r="C13" t="s">
        <v>22</v>
      </c>
      <c r="D13" t="s">
        <v>57</v>
      </c>
      <c r="E13" t="s">
        <v>58</v>
      </c>
      <c r="I13">
        <v>7.6</v>
      </c>
      <c r="J13">
        <v>57</v>
      </c>
      <c r="K13">
        <v>5</v>
      </c>
      <c r="M13">
        <f t="shared" si="0"/>
        <v>0.69897000433601886</v>
      </c>
      <c r="N13" s="15">
        <f t="shared" si="1"/>
        <v>0.40867846440530076</v>
      </c>
      <c r="O13" t="s">
        <v>26</v>
      </c>
      <c r="P13">
        <v>2011</v>
      </c>
      <c r="Q13" t="s">
        <v>59</v>
      </c>
      <c r="R13" t="s">
        <v>157</v>
      </c>
      <c r="T13">
        <f>T12+5</f>
        <v>50</v>
      </c>
      <c r="U13" s="15">
        <f t="shared" ref="U13:U27" si="2">$U$8-(T13-$U$4)/$U$3</f>
        <v>1.3348413824707923</v>
      </c>
      <c r="V13" s="8">
        <f t="shared" ref="V13:V27" si="3">U13+$U$7*$U$5</f>
        <v>1.9687592514997132</v>
      </c>
      <c r="Z13">
        <f>Z12+5</f>
        <v>50</v>
      </c>
      <c r="AA13" s="15">
        <f t="shared" ref="AA13:AA27" si="4">$AA$8-(Z13-$AA$4)/$AA$3</f>
        <v>1.04544664362616</v>
      </c>
      <c r="AB13" s="8">
        <f t="shared" ref="AB13:AB27" si="5">AA13+$AA$7*$AA$5</f>
        <v>2.5550982350550333</v>
      </c>
      <c r="AE13" s="29" t="s">
        <v>111</v>
      </c>
      <c r="AF13" s="30">
        <f>AA9-(AF12-AA4)/AA3</f>
        <v>-1.1619152549495912</v>
      </c>
    </row>
    <row r="14" spans="1:32" x14ac:dyDescent="0.25">
      <c r="A14" t="s">
        <v>153</v>
      </c>
      <c r="B14" t="s">
        <v>156</v>
      </c>
      <c r="C14" t="s">
        <v>22</v>
      </c>
      <c r="D14" t="s">
        <v>57</v>
      </c>
      <c r="E14" t="s">
        <v>58</v>
      </c>
      <c r="I14">
        <v>7.6</v>
      </c>
      <c r="J14">
        <v>58</v>
      </c>
      <c r="K14">
        <v>3.7</v>
      </c>
      <c r="M14">
        <f t="shared" si="0"/>
        <v>0.56820172406699498</v>
      </c>
      <c r="N14" s="15">
        <f t="shared" si="1"/>
        <v>0.27636947611023066</v>
      </c>
      <c r="O14" t="s">
        <v>26</v>
      </c>
      <c r="P14">
        <v>2011</v>
      </c>
      <c r="Q14" t="s">
        <v>59</v>
      </c>
      <c r="R14" t="s">
        <v>157</v>
      </c>
      <c r="T14">
        <f t="shared" ref="T14:T27" si="6">T13+5</f>
        <v>55</v>
      </c>
      <c r="U14" s="15">
        <f t="shared" si="2"/>
        <v>0.67329644099544117</v>
      </c>
      <c r="V14" s="8">
        <f t="shared" si="3"/>
        <v>1.3072143100243621</v>
      </c>
      <c r="Z14">
        <f t="shared" ref="Z14:Z27" si="7">Z13+5</f>
        <v>55</v>
      </c>
      <c r="AA14" s="15">
        <f t="shared" si="4"/>
        <v>0.67374529462569743</v>
      </c>
      <c r="AB14" s="8">
        <f t="shared" si="5"/>
        <v>2.1833968860545707</v>
      </c>
      <c r="AE14" s="29" t="s">
        <v>61</v>
      </c>
      <c r="AF14" s="30">
        <f>10^(AF13)</f>
        <v>6.8878668803086143E-2</v>
      </c>
    </row>
    <row r="15" spans="1:32" ht="15.75" thickBot="1" x14ac:dyDescent="0.3">
      <c r="A15" t="s">
        <v>153</v>
      </c>
      <c r="B15" t="s">
        <v>156</v>
      </c>
      <c r="C15" t="s">
        <v>22</v>
      </c>
      <c r="D15" t="s">
        <v>57</v>
      </c>
      <c r="E15" t="s">
        <v>58</v>
      </c>
      <c r="I15">
        <v>7.6</v>
      </c>
      <c r="J15">
        <v>59</v>
      </c>
      <c r="K15">
        <v>1.7</v>
      </c>
      <c r="M15">
        <f t="shared" si="0"/>
        <v>0.23044892137827391</v>
      </c>
      <c r="N15" s="15">
        <f t="shared" si="1"/>
        <v>0.14406048781516034</v>
      </c>
      <c r="O15" t="s">
        <v>26</v>
      </c>
      <c r="P15">
        <v>2011</v>
      </c>
      <c r="Q15" t="s">
        <v>59</v>
      </c>
      <c r="R15" t="s">
        <v>157</v>
      </c>
      <c r="T15">
        <f t="shared" si="6"/>
        <v>60</v>
      </c>
      <c r="U15" s="15">
        <f t="shared" si="2"/>
        <v>1.1751499520090247E-2</v>
      </c>
      <c r="V15" s="8">
        <f t="shared" si="3"/>
        <v>0.64566936854901114</v>
      </c>
      <c r="Z15">
        <f t="shared" si="7"/>
        <v>60</v>
      </c>
      <c r="AA15" s="15">
        <f t="shared" si="4"/>
        <v>0.30204394562523507</v>
      </c>
      <c r="AB15" s="8">
        <f t="shared" si="5"/>
        <v>1.8116955370541084</v>
      </c>
      <c r="AE15" s="32"/>
      <c r="AF15" s="34"/>
    </row>
    <row r="16" spans="1:32" x14ac:dyDescent="0.25">
      <c r="A16" t="s">
        <v>153</v>
      </c>
      <c r="B16" t="s">
        <v>158</v>
      </c>
      <c r="C16" t="s">
        <v>22</v>
      </c>
      <c r="D16" t="s">
        <v>57</v>
      </c>
      <c r="E16" t="s">
        <v>58</v>
      </c>
      <c r="I16">
        <v>7.6</v>
      </c>
      <c r="J16">
        <v>55</v>
      </c>
      <c r="K16">
        <v>5.3</v>
      </c>
      <c r="M16">
        <f t="shared" si="0"/>
        <v>0.72427586960078905</v>
      </c>
      <c r="N16" s="15">
        <f t="shared" si="1"/>
        <v>0.67329644099544117</v>
      </c>
      <c r="O16" t="s">
        <v>26</v>
      </c>
      <c r="P16">
        <v>2011</v>
      </c>
      <c r="Q16" t="s">
        <v>59</v>
      </c>
      <c r="R16" t="s">
        <v>159</v>
      </c>
      <c r="T16">
        <f t="shared" si="6"/>
        <v>65</v>
      </c>
      <c r="U16" s="15">
        <f t="shared" si="2"/>
        <v>-0.64979344195526079</v>
      </c>
      <c r="V16" s="8">
        <f t="shared" si="3"/>
        <v>-1.5875572926339898E-2</v>
      </c>
      <c r="Z16">
        <f t="shared" si="7"/>
        <v>65</v>
      </c>
      <c r="AA16" s="15">
        <f t="shared" si="4"/>
        <v>-6.9657403375227411E-2</v>
      </c>
      <c r="AB16" s="8">
        <f t="shared" si="5"/>
        <v>1.439994188053646</v>
      </c>
    </row>
    <row r="17" spans="1:28" x14ac:dyDescent="0.25">
      <c r="A17" t="s">
        <v>153</v>
      </c>
      <c r="B17" t="s">
        <v>158</v>
      </c>
      <c r="C17" t="s">
        <v>22</v>
      </c>
      <c r="D17" t="s">
        <v>57</v>
      </c>
      <c r="E17" t="s">
        <v>58</v>
      </c>
      <c r="I17">
        <v>7.6</v>
      </c>
      <c r="J17">
        <v>57</v>
      </c>
      <c r="K17">
        <v>2.2000000000000002</v>
      </c>
      <c r="M17">
        <f t="shared" si="0"/>
        <v>0.34242268082220628</v>
      </c>
      <c r="N17" s="15">
        <f t="shared" si="1"/>
        <v>0.40867846440530076</v>
      </c>
      <c r="O17" t="s">
        <v>26</v>
      </c>
      <c r="P17">
        <v>2011</v>
      </c>
      <c r="Q17" t="s">
        <v>59</v>
      </c>
      <c r="R17" t="s">
        <v>159</v>
      </c>
      <c r="T17">
        <f t="shared" si="6"/>
        <v>70</v>
      </c>
      <c r="U17" s="15">
        <f t="shared" si="2"/>
        <v>-1.3113383834306118</v>
      </c>
      <c r="V17" s="8">
        <f t="shared" si="3"/>
        <v>-0.67742051440169093</v>
      </c>
      <c r="Z17">
        <f t="shared" si="7"/>
        <v>70</v>
      </c>
      <c r="AA17" s="15">
        <f t="shared" si="4"/>
        <v>-0.44135875237568989</v>
      </c>
      <c r="AB17" s="8">
        <f t="shared" si="5"/>
        <v>1.0682928390531834</v>
      </c>
    </row>
    <row r="18" spans="1:28" x14ac:dyDescent="0.25">
      <c r="A18" t="s">
        <v>153</v>
      </c>
      <c r="B18" t="s">
        <v>158</v>
      </c>
      <c r="C18" t="s">
        <v>22</v>
      </c>
      <c r="D18" t="s">
        <v>57</v>
      </c>
      <c r="E18" t="s">
        <v>58</v>
      </c>
      <c r="I18">
        <v>7.6</v>
      </c>
      <c r="J18">
        <v>58</v>
      </c>
      <c r="K18">
        <v>1.1000000000000001</v>
      </c>
      <c r="M18">
        <f t="shared" si="0"/>
        <v>4.1392685158225077E-2</v>
      </c>
      <c r="N18" s="15">
        <f t="shared" si="1"/>
        <v>0.27636947611023066</v>
      </c>
      <c r="O18" t="s">
        <v>26</v>
      </c>
      <c r="P18">
        <v>2011</v>
      </c>
      <c r="Q18" t="s">
        <v>59</v>
      </c>
      <c r="R18" t="s">
        <v>159</v>
      </c>
      <c r="T18">
        <f t="shared" si="6"/>
        <v>75</v>
      </c>
      <c r="U18" s="15">
        <f t="shared" si="2"/>
        <v>-1.972883324905963</v>
      </c>
      <c r="V18" s="8">
        <f t="shared" si="3"/>
        <v>-1.3389654558770421</v>
      </c>
      <c r="Z18">
        <f t="shared" si="7"/>
        <v>75</v>
      </c>
      <c r="AA18" s="15">
        <f t="shared" si="4"/>
        <v>-0.81306010137615237</v>
      </c>
      <c r="AB18" s="8">
        <f t="shared" si="5"/>
        <v>0.69659149005272092</v>
      </c>
    </row>
    <row r="19" spans="1:28" x14ac:dyDescent="0.25">
      <c r="A19" t="s">
        <v>153</v>
      </c>
      <c r="B19" t="s">
        <v>158</v>
      </c>
      <c r="C19" t="s">
        <v>22</v>
      </c>
      <c r="D19" t="s">
        <v>57</v>
      </c>
      <c r="E19" t="s">
        <v>58</v>
      </c>
      <c r="I19">
        <v>7.6</v>
      </c>
      <c r="J19">
        <v>59</v>
      </c>
      <c r="K19">
        <v>0.55000000000000004</v>
      </c>
      <c r="M19">
        <f t="shared" si="0"/>
        <v>-0.25963731050575611</v>
      </c>
      <c r="N19" s="15">
        <f t="shared" si="1"/>
        <v>0.14406048781516034</v>
      </c>
      <c r="O19" t="s">
        <v>26</v>
      </c>
      <c r="P19">
        <v>2011</v>
      </c>
      <c r="Q19" t="s">
        <v>59</v>
      </c>
      <c r="R19" t="s">
        <v>159</v>
      </c>
      <c r="T19">
        <f t="shared" si="6"/>
        <v>80</v>
      </c>
      <c r="U19" s="15">
        <f t="shared" si="2"/>
        <v>-2.6344282663813141</v>
      </c>
      <c r="V19" s="8">
        <f t="shared" si="3"/>
        <v>-2.000510397352393</v>
      </c>
      <c r="Z19">
        <f t="shared" si="7"/>
        <v>80</v>
      </c>
      <c r="AA19" s="15">
        <f t="shared" si="4"/>
        <v>-1.1847614503766148</v>
      </c>
      <c r="AB19" s="8">
        <f t="shared" si="5"/>
        <v>0.32489014105225844</v>
      </c>
    </row>
    <row r="20" spans="1:28" x14ac:dyDescent="0.25">
      <c r="A20" t="s">
        <v>153</v>
      </c>
      <c r="B20" t="s">
        <v>158</v>
      </c>
      <c r="C20" t="s">
        <v>22</v>
      </c>
      <c r="D20" t="s">
        <v>57</v>
      </c>
      <c r="E20" t="s">
        <v>58</v>
      </c>
      <c r="I20">
        <v>7.6</v>
      </c>
      <c r="J20">
        <v>61</v>
      </c>
      <c r="K20">
        <v>0.19</v>
      </c>
      <c r="M20">
        <f t="shared" si="0"/>
        <v>-0.72124639904717103</v>
      </c>
      <c r="N20" s="15">
        <f t="shared" si="1"/>
        <v>-0.12055748877498007</v>
      </c>
      <c r="O20" t="s">
        <v>26</v>
      </c>
      <c r="P20">
        <v>2011</v>
      </c>
      <c r="Q20" t="s">
        <v>59</v>
      </c>
      <c r="R20" t="s">
        <v>159</v>
      </c>
      <c r="T20">
        <f t="shared" si="6"/>
        <v>85</v>
      </c>
      <c r="U20" s="15">
        <f t="shared" si="2"/>
        <v>-3.2959732078566648</v>
      </c>
      <c r="V20" s="8">
        <f t="shared" si="3"/>
        <v>-2.6620553388277441</v>
      </c>
      <c r="Z20">
        <f t="shared" si="7"/>
        <v>85</v>
      </c>
      <c r="AA20" s="15">
        <f t="shared" si="4"/>
        <v>-1.5564627993770772</v>
      </c>
      <c r="AB20" s="8">
        <f t="shared" si="5"/>
        <v>-4.6811207948203926E-2</v>
      </c>
    </row>
    <row r="21" spans="1:28" x14ac:dyDescent="0.25">
      <c r="A21" t="s">
        <v>153</v>
      </c>
      <c r="B21" t="s">
        <v>158</v>
      </c>
      <c r="C21" t="s">
        <v>22</v>
      </c>
      <c r="D21" t="s">
        <v>57</v>
      </c>
      <c r="E21" t="s">
        <v>58</v>
      </c>
      <c r="I21">
        <v>7.6</v>
      </c>
      <c r="J21">
        <v>63</v>
      </c>
      <c r="K21">
        <v>0.17</v>
      </c>
      <c r="M21">
        <f t="shared" si="0"/>
        <v>-0.769551078621726</v>
      </c>
      <c r="N21" s="15">
        <f t="shared" si="1"/>
        <v>-0.38517546536512037</v>
      </c>
      <c r="O21" t="s">
        <v>26</v>
      </c>
      <c r="P21">
        <v>2011</v>
      </c>
      <c r="Q21" t="s">
        <v>59</v>
      </c>
      <c r="R21" t="s">
        <v>159</v>
      </c>
      <c r="T21">
        <f t="shared" si="6"/>
        <v>90</v>
      </c>
      <c r="U21" s="15">
        <f t="shared" si="2"/>
        <v>-3.957518149332016</v>
      </c>
      <c r="V21" s="8">
        <f t="shared" si="3"/>
        <v>-3.3236002803030953</v>
      </c>
      <c r="Z21">
        <f t="shared" si="7"/>
        <v>90</v>
      </c>
      <c r="AA21" s="15">
        <f t="shared" si="4"/>
        <v>-1.9281641483775398</v>
      </c>
      <c r="AB21" s="8">
        <f t="shared" si="5"/>
        <v>-0.41851255694866651</v>
      </c>
    </row>
    <row r="22" spans="1:28" x14ac:dyDescent="0.25">
      <c r="A22" t="s">
        <v>153</v>
      </c>
      <c r="B22" t="s">
        <v>160</v>
      </c>
      <c r="C22" t="s">
        <v>22</v>
      </c>
      <c r="D22" t="s">
        <v>75</v>
      </c>
      <c r="E22" t="s">
        <v>161</v>
      </c>
      <c r="J22">
        <v>57</v>
      </c>
      <c r="K22">
        <f>221.6/60</f>
        <v>3.6933333333333334</v>
      </c>
      <c r="M22">
        <f t="shared" si="0"/>
        <v>0.56741850567274854</v>
      </c>
      <c r="N22" s="15">
        <f t="shared" si="1"/>
        <v>0.40867846440530076</v>
      </c>
      <c r="O22" t="s">
        <v>79</v>
      </c>
      <c r="P22">
        <v>2008</v>
      </c>
      <c r="Q22" t="s">
        <v>80</v>
      </c>
      <c r="R22" t="s">
        <v>81</v>
      </c>
      <c r="T22">
        <f t="shared" si="6"/>
        <v>95</v>
      </c>
      <c r="U22" s="15">
        <f t="shared" si="2"/>
        <v>-4.6190630908073675</v>
      </c>
      <c r="V22" s="8">
        <f t="shared" si="3"/>
        <v>-3.9851452217784464</v>
      </c>
      <c r="Z22">
        <f t="shared" si="7"/>
        <v>95</v>
      </c>
      <c r="AA22" s="15">
        <f t="shared" si="4"/>
        <v>-2.2998654973780024</v>
      </c>
      <c r="AB22" s="8">
        <f t="shared" si="5"/>
        <v>-0.7902139059491291</v>
      </c>
    </row>
    <row r="23" spans="1:28" x14ac:dyDescent="0.25">
      <c r="A23" t="s">
        <v>153</v>
      </c>
      <c r="B23" t="s">
        <v>160</v>
      </c>
      <c r="C23" t="s">
        <v>22</v>
      </c>
      <c r="D23" t="s">
        <v>75</v>
      </c>
      <c r="E23" t="s">
        <v>161</v>
      </c>
      <c r="J23">
        <v>58</v>
      </c>
      <c r="K23">
        <f>140.2/60</f>
        <v>2.3366666666666664</v>
      </c>
      <c r="M23">
        <f t="shared" si="0"/>
        <v>0.3685967632469962</v>
      </c>
      <c r="N23" s="15">
        <f t="shared" si="1"/>
        <v>0.27636947611023066</v>
      </c>
      <c r="O23" t="s">
        <v>79</v>
      </c>
      <c r="P23">
        <v>2008</v>
      </c>
      <c r="Q23" t="s">
        <v>80</v>
      </c>
      <c r="R23" t="s">
        <v>81</v>
      </c>
      <c r="T23">
        <f t="shared" si="6"/>
        <v>100</v>
      </c>
      <c r="U23" s="15">
        <f t="shared" si="2"/>
        <v>-5.2806080322827178</v>
      </c>
      <c r="V23" s="8">
        <f t="shared" si="3"/>
        <v>-4.6466901632537967</v>
      </c>
      <c r="Z23">
        <f t="shared" si="7"/>
        <v>100</v>
      </c>
      <c r="AA23" s="15">
        <f t="shared" si="4"/>
        <v>-2.6715668463784645</v>
      </c>
      <c r="AB23" s="8">
        <f t="shared" si="5"/>
        <v>-1.1619152549495912</v>
      </c>
    </row>
    <row r="24" spans="1:28" x14ac:dyDescent="0.25">
      <c r="A24" t="s">
        <v>153</v>
      </c>
      <c r="B24" t="s">
        <v>160</v>
      </c>
      <c r="C24" t="s">
        <v>22</v>
      </c>
      <c r="D24" t="s">
        <v>75</v>
      </c>
      <c r="E24" t="s">
        <v>161</v>
      </c>
      <c r="J24">
        <v>59</v>
      </c>
      <c r="K24">
        <f>90.7/60</f>
        <v>1.5116666666666667</v>
      </c>
      <c r="M24">
        <f t="shared" si="0"/>
        <v>0.17945603667645163</v>
      </c>
      <c r="N24" s="15">
        <f t="shared" si="1"/>
        <v>0.14406048781516034</v>
      </c>
      <c r="O24" t="s">
        <v>79</v>
      </c>
      <c r="P24">
        <v>2008</v>
      </c>
      <c r="Q24" t="s">
        <v>80</v>
      </c>
      <c r="R24" t="s">
        <v>81</v>
      </c>
      <c r="T24">
        <f t="shared" si="6"/>
        <v>105</v>
      </c>
      <c r="U24" s="15">
        <f t="shared" si="2"/>
        <v>-5.9421529737580689</v>
      </c>
      <c r="V24" s="8">
        <f t="shared" si="3"/>
        <v>-5.3082351047291478</v>
      </c>
      <c r="Z24">
        <f t="shared" si="7"/>
        <v>105</v>
      </c>
      <c r="AA24" s="15">
        <f t="shared" si="4"/>
        <v>-3.0432681953789271</v>
      </c>
      <c r="AB24" s="8">
        <f t="shared" si="5"/>
        <v>-1.5336166039500538</v>
      </c>
    </row>
    <row r="25" spans="1:28" x14ac:dyDescent="0.25">
      <c r="A25" t="s">
        <v>153</v>
      </c>
      <c r="B25" t="s">
        <v>160</v>
      </c>
      <c r="C25" t="s">
        <v>22</v>
      </c>
      <c r="D25" t="s">
        <v>75</v>
      </c>
      <c r="E25" t="s">
        <v>161</v>
      </c>
      <c r="J25">
        <v>60</v>
      </c>
      <c r="K25">
        <f>52.8/60</f>
        <v>0.88</v>
      </c>
      <c r="M25">
        <f t="shared" si="0"/>
        <v>-5.551732784983137E-2</v>
      </c>
      <c r="N25" s="15">
        <f t="shared" si="1"/>
        <v>1.1751499520090247E-2</v>
      </c>
      <c r="O25" t="s">
        <v>79</v>
      </c>
      <c r="P25">
        <v>2008</v>
      </c>
      <c r="Q25" t="s">
        <v>80</v>
      </c>
      <c r="R25" t="s">
        <v>81</v>
      </c>
      <c r="T25">
        <f t="shared" si="6"/>
        <v>110</v>
      </c>
      <c r="U25" s="15">
        <f t="shared" si="2"/>
        <v>-6.6036979152334201</v>
      </c>
      <c r="V25" s="8">
        <f t="shared" si="3"/>
        <v>-5.969780046204499</v>
      </c>
      <c r="Z25">
        <f t="shared" si="7"/>
        <v>110</v>
      </c>
      <c r="AA25" s="15">
        <f t="shared" si="4"/>
        <v>-3.4149695443793897</v>
      </c>
      <c r="AB25" s="8">
        <f t="shared" si="5"/>
        <v>-1.9053179529505164</v>
      </c>
    </row>
    <row r="26" spans="1:28" x14ac:dyDescent="0.25">
      <c r="A26" t="s">
        <v>153</v>
      </c>
      <c r="B26" t="s">
        <v>160</v>
      </c>
      <c r="C26" t="s">
        <v>22</v>
      </c>
      <c r="D26" t="s">
        <v>75</v>
      </c>
      <c r="E26" t="s">
        <v>161</v>
      </c>
      <c r="J26">
        <v>61</v>
      </c>
      <c r="K26">
        <f>38.4/60</f>
        <v>0.64</v>
      </c>
      <c r="M26">
        <f t="shared" si="0"/>
        <v>-0.19382002601611281</v>
      </c>
      <c r="N26" s="15">
        <f t="shared" si="1"/>
        <v>-0.12055748877498007</v>
      </c>
      <c r="O26" t="s">
        <v>79</v>
      </c>
      <c r="P26">
        <v>2008</v>
      </c>
      <c r="Q26" t="s">
        <v>80</v>
      </c>
      <c r="R26" t="s">
        <v>81</v>
      </c>
      <c r="T26">
        <f t="shared" si="6"/>
        <v>115</v>
      </c>
      <c r="U26" s="15">
        <f t="shared" si="2"/>
        <v>-7.2652428567087712</v>
      </c>
      <c r="V26" s="8">
        <f t="shared" si="3"/>
        <v>-6.6313249876798501</v>
      </c>
      <c r="Z26">
        <f t="shared" si="7"/>
        <v>115</v>
      </c>
      <c r="AA26" s="15">
        <f t="shared" si="4"/>
        <v>-3.7866708933798519</v>
      </c>
      <c r="AB26" s="8">
        <f t="shared" si="5"/>
        <v>-2.2770193019509786</v>
      </c>
    </row>
    <row r="27" spans="1:28" x14ac:dyDescent="0.25">
      <c r="A27" t="s">
        <v>153</v>
      </c>
      <c r="B27" t="s">
        <v>160</v>
      </c>
      <c r="C27" t="s">
        <v>22</v>
      </c>
      <c r="D27" t="s">
        <v>75</v>
      </c>
      <c r="E27" t="s">
        <v>78</v>
      </c>
      <c r="J27">
        <v>57</v>
      </c>
      <c r="K27">
        <f>244.2/60</f>
        <v>4.0699999999999994</v>
      </c>
      <c r="M27">
        <f t="shared" si="0"/>
        <v>0.60959440922522001</v>
      </c>
      <c r="N27" s="15">
        <f t="shared" si="1"/>
        <v>0.40867846440530076</v>
      </c>
      <c r="O27" t="s">
        <v>79</v>
      </c>
      <c r="P27">
        <v>2008</v>
      </c>
      <c r="Q27" t="s">
        <v>80</v>
      </c>
      <c r="R27" t="s">
        <v>81</v>
      </c>
      <c r="T27">
        <f t="shared" si="6"/>
        <v>120</v>
      </c>
      <c r="U27" s="15">
        <f t="shared" si="2"/>
        <v>-7.9267877981841224</v>
      </c>
      <c r="V27" s="8">
        <f t="shared" si="3"/>
        <v>-7.2928699291552013</v>
      </c>
      <c r="Z27">
        <f t="shared" si="7"/>
        <v>120</v>
      </c>
      <c r="AA27" s="15">
        <f t="shared" si="4"/>
        <v>-4.1583722423803149</v>
      </c>
      <c r="AB27" s="8">
        <f t="shared" si="5"/>
        <v>-2.6487206509514416</v>
      </c>
    </row>
    <row r="28" spans="1:28" x14ac:dyDescent="0.25">
      <c r="A28" t="s">
        <v>153</v>
      </c>
      <c r="B28" t="s">
        <v>160</v>
      </c>
      <c r="C28" t="s">
        <v>22</v>
      </c>
      <c r="D28" t="s">
        <v>75</v>
      </c>
      <c r="E28" t="s">
        <v>78</v>
      </c>
      <c r="J28">
        <v>59</v>
      </c>
      <c r="K28">
        <f>88/60</f>
        <v>1.4666666666666666</v>
      </c>
      <c r="M28">
        <f t="shared" si="0"/>
        <v>0.16633142176652496</v>
      </c>
      <c r="N28" s="15">
        <f t="shared" si="1"/>
        <v>0.14406048781516034</v>
      </c>
      <c r="O28" t="s">
        <v>79</v>
      </c>
      <c r="P28">
        <v>2008</v>
      </c>
      <c r="Q28" t="s">
        <v>80</v>
      </c>
      <c r="R28" t="s">
        <v>81</v>
      </c>
    </row>
    <row r="29" spans="1:28" x14ac:dyDescent="0.25">
      <c r="A29" t="s">
        <v>153</v>
      </c>
      <c r="B29" t="s">
        <v>160</v>
      </c>
      <c r="C29" t="s">
        <v>22</v>
      </c>
      <c r="D29" t="s">
        <v>75</v>
      </c>
      <c r="E29" t="s">
        <v>78</v>
      </c>
      <c r="J29">
        <v>61</v>
      </c>
      <c r="K29">
        <f>29.6/60</f>
        <v>0.49333333333333335</v>
      </c>
      <c r="M29">
        <f t="shared" si="0"/>
        <v>-0.30685953932470506</v>
      </c>
      <c r="N29" s="15">
        <f t="shared" si="1"/>
        <v>-0.12055748877498007</v>
      </c>
      <c r="O29" t="s">
        <v>79</v>
      </c>
      <c r="P29">
        <v>2008</v>
      </c>
      <c r="Q29" t="s">
        <v>80</v>
      </c>
      <c r="R29" t="s">
        <v>81</v>
      </c>
    </row>
    <row r="30" spans="1:28" x14ac:dyDescent="0.25">
      <c r="A30" t="s">
        <v>153</v>
      </c>
      <c r="B30" t="s">
        <v>162</v>
      </c>
      <c r="C30" t="s">
        <v>22</v>
      </c>
      <c r="D30" t="s">
        <v>75</v>
      </c>
      <c r="E30" t="s">
        <v>78</v>
      </c>
      <c r="J30">
        <v>57</v>
      </c>
      <c r="K30">
        <f>478/60</f>
        <v>7.9666666666666668</v>
      </c>
      <c r="M30">
        <f t="shared" si="0"/>
        <v>0.90127664622847525</v>
      </c>
      <c r="N30" s="15">
        <f t="shared" si="1"/>
        <v>0.40867846440530076</v>
      </c>
      <c r="O30" t="s">
        <v>79</v>
      </c>
      <c r="P30">
        <v>2008</v>
      </c>
      <c r="Q30" t="s">
        <v>80</v>
      </c>
      <c r="R30" t="s">
        <v>81</v>
      </c>
    </row>
    <row r="31" spans="1:28" x14ac:dyDescent="0.25">
      <c r="A31" t="s">
        <v>153</v>
      </c>
      <c r="B31" t="s">
        <v>162</v>
      </c>
      <c r="C31" t="s">
        <v>22</v>
      </c>
      <c r="D31" t="s">
        <v>75</v>
      </c>
      <c r="E31" t="s">
        <v>78</v>
      </c>
      <c r="J31">
        <v>58</v>
      </c>
      <c r="K31">
        <f>335.2/60</f>
        <v>5.5866666666666669</v>
      </c>
      <c r="M31">
        <f t="shared" si="0"/>
        <v>0.74715275957459526</v>
      </c>
      <c r="N31" s="15">
        <f t="shared" si="1"/>
        <v>0.27636947611023066</v>
      </c>
      <c r="O31" t="s">
        <v>79</v>
      </c>
      <c r="P31">
        <v>2008</v>
      </c>
      <c r="Q31" t="s">
        <v>80</v>
      </c>
      <c r="R31" t="s">
        <v>81</v>
      </c>
    </row>
    <row r="32" spans="1:28" x14ac:dyDescent="0.25">
      <c r="A32" t="s">
        <v>153</v>
      </c>
      <c r="B32" t="s">
        <v>162</v>
      </c>
      <c r="C32" t="s">
        <v>22</v>
      </c>
      <c r="D32" t="s">
        <v>75</v>
      </c>
      <c r="E32" t="s">
        <v>78</v>
      </c>
      <c r="J32">
        <v>59</v>
      </c>
      <c r="K32">
        <f>243.8/60</f>
        <v>4.0633333333333335</v>
      </c>
      <c r="M32">
        <f t="shared" si="0"/>
        <v>0.60888245089871951</v>
      </c>
      <c r="N32" s="15">
        <f t="shared" si="1"/>
        <v>0.14406048781516034</v>
      </c>
      <c r="O32" t="s">
        <v>79</v>
      </c>
      <c r="P32">
        <v>2008</v>
      </c>
      <c r="Q32" t="s">
        <v>80</v>
      </c>
      <c r="R32" t="s">
        <v>81</v>
      </c>
    </row>
    <row r="33" spans="1:18" x14ac:dyDescent="0.25">
      <c r="A33" t="s">
        <v>153</v>
      </c>
      <c r="B33" t="s">
        <v>162</v>
      </c>
      <c r="C33" t="s">
        <v>22</v>
      </c>
      <c r="D33" t="s">
        <v>75</v>
      </c>
      <c r="E33" t="s">
        <v>78</v>
      </c>
      <c r="J33">
        <v>60</v>
      </c>
      <c r="K33">
        <f>100.3/60</f>
        <v>1.6716666666666666</v>
      </c>
      <c r="M33">
        <f t="shared" si="0"/>
        <v>0.22314968263677448</v>
      </c>
      <c r="N33" s="15">
        <f t="shared" si="1"/>
        <v>1.1751499520090247E-2</v>
      </c>
      <c r="O33" t="s">
        <v>79</v>
      </c>
      <c r="P33">
        <v>2008</v>
      </c>
      <c r="Q33" t="s">
        <v>80</v>
      </c>
      <c r="R33" t="s">
        <v>81</v>
      </c>
    </row>
    <row r="34" spans="1:18" x14ac:dyDescent="0.25">
      <c r="A34" t="s">
        <v>153</v>
      </c>
      <c r="B34" t="s">
        <v>162</v>
      </c>
      <c r="C34" t="s">
        <v>22</v>
      </c>
      <c r="D34" t="s">
        <v>75</v>
      </c>
      <c r="E34" t="s">
        <v>78</v>
      </c>
      <c r="J34">
        <v>61</v>
      </c>
      <c r="K34">
        <f>38.1/60</f>
        <v>0.63500000000000001</v>
      </c>
      <c r="M34">
        <f t="shared" si="0"/>
        <v>-0.19722627470802431</v>
      </c>
      <c r="N34" s="15">
        <f t="shared" si="1"/>
        <v>-0.12055748877498007</v>
      </c>
      <c r="O34" t="s">
        <v>79</v>
      </c>
      <c r="P34">
        <v>2008</v>
      </c>
      <c r="Q34" t="s">
        <v>80</v>
      </c>
      <c r="R34" t="s">
        <v>81</v>
      </c>
    </row>
    <row r="35" spans="1:18" x14ac:dyDescent="0.25">
      <c r="A35" t="s">
        <v>153</v>
      </c>
      <c r="B35" t="s">
        <v>162</v>
      </c>
      <c r="C35" t="s">
        <v>22</v>
      </c>
      <c r="D35" t="s">
        <v>83</v>
      </c>
      <c r="E35" t="s">
        <v>54</v>
      </c>
      <c r="J35">
        <v>55</v>
      </c>
      <c r="K35">
        <f>320.7/60</f>
        <v>5.3449999999999998</v>
      </c>
      <c r="M35">
        <f t="shared" si="0"/>
        <v>0.72794770954479682</v>
      </c>
      <c r="N35" s="15">
        <f t="shared" si="1"/>
        <v>0.67329644099544117</v>
      </c>
      <c r="O35" t="s">
        <v>84</v>
      </c>
      <c r="P35">
        <v>2004</v>
      </c>
      <c r="Q35" t="s">
        <v>85</v>
      </c>
      <c r="R35" t="s">
        <v>81</v>
      </c>
    </row>
    <row r="36" spans="1:18" x14ac:dyDescent="0.25">
      <c r="A36" t="s">
        <v>153</v>
      </c>
      <c r="B36" t="s">
        <v>162</v>
      </c>
      <c r="C36" t="s">
        <v>22</v>
      </c>
      <c r="D36" t="s">
        <v>83</v>
      </c>
      <c r="E36" t="s">
        <v>54</v>
      </c>
      <c r="J36">
        <v>57</v>
      </c>
      <c r="K36">
        <f>228/60</f>
        <v>3.8</v>
      </c>
      <c r="M36">
        <f t="shared" si="0"/>
        <v>0.57978359661681012</v>
      </c>
      <c r="N36" s="15">
        <f t="shared" si="1"/>
        <v>0.40867846440530076</v>
      </c>
      <c r="O36" t="s">
        <v>84</v>
      </c>
      <c r="P36">
        <v>2004</v>
      </c>
      <c r="Q36" t="s">
        <v>85</v>
      </c>
      <c r="R36" t="s">
        <v>81</v>
      </c>
    </row>
    <row r="37" spans="1:18" x14ac:dyDescent="0.25">
      <c r="A37" t="s">
        <v>153</v>
      </c>
      <c r="B37" t="s">
        <v>162</v>
      </c>
      <c r="C37" t="s">
        <v>22</v>
      </c>
      <c r="D37" t="s">
        <v>83</v>
      </c>
      <c r="E37" t="s">
        <v>54</v>
      </c>
      <c r="J37">
        <v>59</v>
      </c>
      <c r="K37">
        <f>96.3/60</f>
        <v>1.605</v>
      </c>
      <c r="M37">
        <f t="shared" si="0"/>
        <v>0.20547503674089088</v>
      </c>
      <c r="N37" s="15">
        <f t="shared" si="1"/>
        <v>0.14406048781516034</v>
      </c>
      <c r="O37" t="s">
        <v>84</v>
      </c>
      <c r="P37">
        <v>2004</v>
      </c>
      <c r="Q37" t="s">
        <v>85</v>
      </c>
      <c r="R37" t="s">
        <v>81</v>
      </c>
    </row>
    <row r="38" spans="1:18" x14ac:dyDescent="0.25">
      <c r="A38" t="s">
        <v>153</v>
      </c>
      <c r="B38" t="s">
        <v>162</v>
      </c>
      <c r="C38" t="s">
        <v>22</v>
      </c>
      <c r="D38" t="s">
        <v>83</v>
      </c>
      <c r="E38" t="s">
        <v>86</v>
      </c>
      <c r="J38">
        <v>55</v>
      </c>
      <c r="K38">
        <f>282.8/60</f>
        <v>4.7133333333333338</v>
      </c>
      <c r="M38">
        <f t="shared" si="0"/>
        <v>0.67332815474121821</v>
      </c>
      <c r="N38" s="15">
        <f t="shared" si="1"/>
        <v>0.67329644099544117</v>
      </c>
      <c r="O38" t="s">
        <v>84</v>
      </c>
      <c r="P38">
        <v>2004</v>
      </c>
      <c r="Q38" t="s">
        <v>85</v>
      </c>
      <c r="R38" t="s">
        <v>81</v>
      </c>
    </row>
    <row r="39" spans="1:18" x14ac:dyDescent="0.25">
      <c r="A39" t="s">
        <v>153</v>
      </c>
      <c r="B39" t="s">
        <v>162</v>
      </c>
      <c r="C39" t="s">
        <v>22</v>
      </c>
      <c r="D39" t="s">
        <v>83</v>
      </c>
      <c r="E39" t="s">
        <v>86</v>
      </c>
      <c r="J39">
        <v>57</v>
      </c>
      <c r="K39">
        <f>89.7/60</f>
        <v>1.4950000000000001</v>
      </c>
      <c r="M39">
        <f t="shared" si="0"/>
        <v>0.17464119266044847</v>
      </c>
      <c r="N39" s="15">
        <f t="shared" si="1"/>
        <v>0.40867846440530076</v>
      </c>
      <c r="O39" t="s">
        <v>84</v>
      </c>
      <c r="P39">
        <v>2004</v>
      </c>
      <c r="Q39" t="s">
        <v>85</v>
      </c>
      <c r="R39" t="s">
        <v>81</v>
      </c>
    </row>
    <row r="40" spans="1:18" x14ac:dyDescent="0.25">
      <c r="A40" t="s">
        <v>153</v>
      </c>
      <c r="B40" t="s">
        <v>162</v>
      </c>
      <c r="C40" t="s">
        <v>22</v>
      </c>
      <c r="D40" t="s">
        <v>83</v>
      </c>
      <c r="E40" t="s">
        <v>86</v>
      </c>
      <c r="J40">
        <v>59</v>
      </c>
      <c r="K40">
        <f>43/60</f>
        <v>0.71666666666666667</v>
      </c>
      <c r="M40">
        <f t="shared" si="0"/>
        <v>-0.1446827948040571</v>
      </c>
      <c r="N40" s="15">
        <f t="shared" si="1"/>
        <v>0.14406048781516034</v>
      </c>
      <c r="O40" t="s">
        <v>84</v>
      </c>
      <c r="P40">
        <v>2004</v>
      </c>
      <c r="Q40" t="s">
        <v>85</v>
      </c>
      <c r="R40" t="s">
        <v>81</v>
      </c>
    </row>
    <row r="41" spans="1:18" x14ac:dyDescent="0.25">
      <c r="A41" t="s">
        <v>153</v>
      </c>
      <c r="B41" t="s">
        <v>163</v>
      </c>
      <c r="C41" t="s">
        <v>22</v>
      </c>
      <c r="D41" t="s">
        <v>83</v>
      </c>
      <c r="E41" t="s">
        <v>54</v>
      </c>
      <c r="J41">
        <v>55</v>
      </c>
      <c r="K41">
        <f>237.7/60</f>
        <v>3.9616666666666664</v>
      </c>
      <c r="M41">
        <f t="shared" si="0"/>
        <v>0.5978779313445366</v>
      </c>
      <c r="N41" s="15">
        <f t="shared" si="1"/>
        <v>0.67329644099544117</v>
      </c>
      <c r="O41" t="s">
        <v>84</v>
      </c>
      <c r="P41">
        <v>2004</v>
      </c>
      <c r="Q41" t="s">
        <v>85</v>
      </c>
      <c r="R41" t="s">
        <v>81</v>
      </c>
    </row>
    <row r="42" spans="1:18" x14ac:dyDescent="0.25">
      <c r="A42" t="s">
        <v>153</v>
      </c>
      <c r="B42" t="s">
        <v>163</v>
      </c>
      <c r="C42" t="s">
        <v>22</v>
      </c>
      <c r="D42" t="s">
        <v>83</v>
      </c>
      <c r="E42" t="s">
        <v>54</v>
      </c>
      <c r="J42">
        <v>57</v>
      </c>
      <c r="K42">
        <f>88.3/60</f>
        <v>1.4716666666666667</v>
      </c>
      <c r="M42">
        <f t="shared" si="0"/>
        <v>0.16780945319392496</v>
      </c>
      <c r="N42" s="15">
        <f t="shared" si="1"/>
        <v>0.40867846440530076</v>
      </c>
      <c r="O42" t="s">
        <v>84</v>
      </c>
      <c r="P42">
        <v>2004</v>
      </c>
      <c r="Q42" t="s">
        <v>85</v>
      </c>
      <c r="R42" t="s">
        <v>81</v>
      </c>
    </row>
    <row r="43" spans="1:18" x14ac:dyDescent="0.25">
      <c r="A43" t="s">
        <v>153</v>
      </c>
      <c r="B43" t="s">
        <v>163</v>
      </c>
      <c r="C43" t="s">
        <v>22</v>
      </c>
      <c r="D43" t="s">
        <v>83</v>
      </c>
      <c r="E43" t="s">
        <v>54</v>
      </c>
      <c r="J43">
        <v>59</v>
      </c>
      <c r="K43">
        <f>22.4/60</f>
        <v>0.37333333333333329</v>
      </c>
      <c r="M43">
        <f t="shared" si="0"/>
        <v>-0.42790323204948089</v>
      </c>
      <c r="N43" s="15">
        <f t="shared" si="1"/>
        <v>0.14406048781516034</v>
      </c>
      <c r="O43" t="s">
        <v>84</v>
      </c>
      <c r="P43">
        <v>2004</v>
      </c>
      <c r="Q43" t="s">
        <v>85</v>
      </c>
      <c r="R43" t="s">
        <v>81</v>
      </c>
    </row>
    <row r="44" spans="1:18" x14ac:dyDescent="0.25">
      <c r="A44" t="s">
        <v>153</v>
      </c>
      <c r="B44" t="s">
        <v>163</v>
      </c>
      <c r="C44" t="s">
        <v>22</v>
      </c>
      <c r="D44" t="s">
        <v>83</v>
      </c>
      <c r="E44" t="s">
        <v>86</v>
      </c>
      <c r="J44">
        <v>55</v>
      </c>
      <c r="K44">
        <f>260.9/60</f>
        <v>4.3483333333333327</v>
      </c>
      <c r="M44">
        <f t="shared" si="0"/>
        <v>0.63832282871657708</v>
      </c>
      <c r="N44" s="15">
        <f t="shared" si="1"/>
        <v>0.67329644099544117</v>
      </c>
      <c r="O44" t="s">
        <v>84</v>
      </c>
      <c r="P44">
        <v>2004</v>
      </c>
      <c r="Q44" t="s">
        <v>85</v>
      </c>
      <c r="R44" t="s">
        <v>81</v>
      </c>
    </row>
    <row r="45" spans="1:18" x14ac:dyDescent="0.25">
      <c r="A45" t="s">
        <v>153</v>
      </c>
      <c r="B45" t="s">
        <v>163</v>
      </c>
      <c r="C45" t="s">
        <v>22</v>
      </c>
      <c r="D45" t="s">
        <v>83</v>
      </c>
      <c r="E45" t="s">
        <v>86</v>
      </c>
      <c r="J45">
        <v>57</v>
      </c>
      <c r="K45">
        <f>105.4/60</f>
        <v>1.7566666666666668</v>
      </c>
      <c r="M45">
        <f t="shared" si="0"/>
        <v>0.2446893604928842</v>
      </c>
      <c r="N45" s="15">
        <f t="shared" si="1"/>
        <v>0.40867846440530076</v>
      </c>
      <c r="O45" t="s">
        <v>84</v>
      </c>
      <c r="P45">
        <v>2004</v>
      </c>
      <c r="Q45" t="s">
        <v>85</v>
      </c>
      <c r="R45" t="s">
        <v>81</v>
      </c>
    </row>
    <row r="46" spans="1:18" x14ac:dyDescent="0.25">
      <c r="A46" t="s">
        <v>153</v>
      </c>
      <c r="B46" t="s">
        <v>163</v>
      </c>
      <c r="C46" t="s">
        <v>22</v>
      </c>
      <c r="D46" t="s">
        <v>83</v>
      </c>
      <c r="E46" t="s">
        <v>86</v>
      </c>
      <c r="J46">
        <v>59</v>
      </c>
      <c r="K46">
        <f>21.7/60</f>
        <v>0.36166666666666664</v>
      </c>
      <c r="M46">
        <f t="shared" si="0"/>
        <v>-0.44169151653511418</v>
      </c>
      <c r="N46" s="15">
        <f t="shared" si="1"/>
        <v>0.14406048781516034</v>
      </c>
      <c r="O46" t="s">
        <v>84</v>
      </c>
      <c r="P46">
        <v>2004</v>
      </c>
      <c r="Q46" t="s">
        <v>85</v>
      </c>
      <c r="R46" t="s">
        <v>81</v>
      </c>
    </row>
    <row r="47" spans="1:18" x14ac:dyDescent="0.25">
      <c r="A47" t="s">
        <v>153</v>
      </c>
      <c r="B47" t="s">
        <v>163</v>
      </c>
      <c r="C47" t="s">
        <v>22</v>
      </c>
      <c r="D47" t="s">
        <v>83</v>
      </c>
      <c r="E47" t="s">
        <v>87</v>
      </c>
      <c r="J47">
        <v>55</v>
      </c>
      <c r="K47">
        <f>25.2/60</f>
        <v>0.42</v>
      </c>
      <c r="M47">
        <f t="shared" si="0"/>
        <v>-0.37675070960209955</v>
      </c>
      <c r="N47" s="15">
        <f t="shared" si="1"/>
        <v>0.67329644099544117</v>
      </c>
      <c r="O47" t="s">
        <v>84</v>
      </c>
      <c r="P47">
        <v>2004</v>
      </c>
      <c r="Q47" t="s">
        <v>85</v>
      </c>
      <c r="R47" t="s">
        <v>81</v>
      </c>
    </row>
    <row r="48" spans="1:18" x14ac:dyDescent="0.25">
      <c r="A48" t="s">
        <v>153</v>
      </c>
      <c r="B48" t="s">
        <v>160</v>
      </c>
      <c r="C48" t="s">
        <v>22</v>
      </c>
      <c r="D48" t="s">
        <v>83</v>
      </c>
      <c r="E48" t="s">
        <v>54</v>
      </c>
      <c r="J48">
        <v>55</v>
      </c>
      <c r="K48">
        <f>360.1/60</f>
        <v>6.0016666666666669</v>
      </c>
      <c r="M48">
        <f t="shared" si="0"/>
        <v>0.77827187098764172</v>
      </c>
      <c r="N48" s="15">
        <f t="shared" si="1"/>
        <v>0.67329644099544117</v>
      </c>
      <c r="O48" t="s">
        <v>84</v>
      </c>
      <c r="P48">
        <v>2004</v>
      </c>
      <c r="Q48" t="s">
        <v>85</v>
      </c>
      <c r="R48" t="s">
        <v>81</v>
      </c>
    </row>
    <row r="49" spans="1:18" x14ac:dyDescent="0.25">
      <c r="A49" t="s">
        <v>153</v>
      </c>
      <c r="B49" t="s">
        <v>160</v>
      </c>
      <c r="C49" t="s">
        <v>22</v>
      </c>
      <c r="D49" t="s">
        <v>83</v>
      </c>
      <c r="E49" t="s">
        <v>54</v>
      </c>
      <c r="J49">
        <v>57</v>
      </c>
      <c r="K49">
        <f>160.7/60</f>
        <v>2.6783333333333332</v>
      </c>
      <c r="M49">
        <f t="shared" si="0"/>
        <v>0.42786462637970091</v>
      </c>
      <c r="N49" s="15">
        <f t="shared" si="1"/>
        <v>0.40867846440530076</v>
      </c>
      <c r="O49" t="s">
        <v>84</v>
      </c>
      <c r="P49">
        <v>2004</v>
      </c>
      <c r="Q49" t="s">
        <v>85</v>
      </c>
      <c r="R49" t="s">
        <v>81</v>
      </c>
    </row>
    <row r="50" spans="1:18" x14ac:dyDescent="0.25">
      <c r="A50" t="s">
        <v>153</v>
      </c>
      <c r="B50" t="s">
        <v>160</v>
      </c>
      <c r="C50" t="s">
        <v>22</v>
      </c>
      <c r="D50" t="s">
        <v>83</v>
      </c>
      <c r="E50" t="s">
        <v>54</v>
      </c>
      <c r="J50">
        <v>59</v>
      </c>
      <c r="K50">
        <f>57.6/60</f>
        <v>0.96000000000000008</v>
      </c>
      <c r="M50">
        <f t="shared" si="0"/>
        <v>-1.7728766960431554E-2</v>
      </c>
      <c r="N50" s="15">
        <f t="shared" si="1"/>
        <v>0.14406048781516034</v>
      </c>
      <c r="O50" t="s">
        <v>84</v>
      </c>
      <c r="P50">
        <v>2004</v>
      </c>
      <c r="Q50" t="s">
        <v>85</v>
      </c>
      <c r="R50" t="s">
        <v>81</v>
      </c>
    </row>
    <row r="51" spans="1:18" x14ac:dyDescent="0.25">
      <c r="A51" t="s">
        <v>153</v>
      </c>
      <c r="B51" t="s">
        <v>160</v>
      </c>
      <c r="C51" t="s">
        <v>22</v>
      </c>
      <c r="D51" t="s">
        <v>83</v>
      </c>
      <c r="E51" t="s">
        <v>86</v>
      </c>
      <c r="J51">
        <v>55</v>
      </c>
      <c r="K51">
        <f>325.4/60</f>
        <v>5.4233333333333329</v>
      </c>
      <c r="M51">
        <f t="shared" si="0"/>
        <v>0.73426629821719636</v>
      </c>
      <c r="N51" s="15">
        <f t="shared" si="1"/>
        <v>0.67329644099544117</v>
      </c>
      <c r="O51" t="s">
        <v>84</v>
      </c>
      <c r="P51">
        <v>2004</v>
      </c>
      <c r="Q51" t="s">
        <v>85</v>
      </c>
      <c r="R51" t="s">
        <v>81</v>
      </c>
    </row>
    <row r="52" spans="1:18" x14ac:dyDescent="0.25">
      <c r="A52" t="s">
        <v>153</v>
      </c>
      <c r="B52" t="s">
        <v>160</v>
      </c>
      <c r="C52" t="s">
        <v>22</v>
      </c>
      <c r="D52" t="s">
        <v>83</v>
      </c>
      <c r="E52" t="s">
        <v>86</v>
      </c>
      <c r="J52">
        <v>57</v>
      </c>
      <c r="K52">
        <f>140.8/60</f>
        <v>2.3466666666666667</v>
      </c>
      <c r="M52">
        <f t="shared" si="0"/>
        <v>0.37045140442244978</v>
      </c>
      <c r="N52" s="15">
        <f t="shared" si="1"/>
        <v>0.40867846440530076</v>
      </c>
      <c r="O52" t="s">
        <v>84</v>
      </c>
      <c r="P52">
        <v>2004</v>
      </c>
      <c r="Q52" t="s">
        <v>85</v>
      </c>
      <c r="R52" t="s">
        <v>81</v>
      </c>
    </row>
    <row r="53" spans="1:18" x14ac:dyDescent="0.25">
      <c r="A53" t="s">
        <v>153</v>
      </c>
      <c r="B53" t="s">
        <v>160</v>
      </c>
      <c r="C53" t="s">
        <v>22</v>
      </c>
      <c r="D53" t="s">
        <v>83</v>
      </c>
      <c r="E53" t="s">
        <v>86</v>
      </c>
      <c r="J53">
        <v>59</v>
      </c>
      <c r="K53">
        <f>40.3/60</f>
        <v>0.67166666666666663</v>
      </c>
      <c r="M53">
        <f t="shared" si="0"/>
        <v>-0.17284620424253422</v>
      </c>
      <c r="N53" s="15">
        <f t="shared" si="1"/>
        <v>0.14406048781516034</v>
      </c>
      <c r="O53" t="s">
        <v>84</v>
      </c>
      <c r="P53">
        <v>2004</v>
      </c>
      <c r="Q53" t="s">
        <v>85</v>
      </c>
      <c r="R53" t="s">
        <v>81</v>
      </c>
    </row>
    <row r="54" spans="1:18" x14ac:dyDescent="0.25">
      <c r="A54" t="s">
        <v>153</v>
      </c>
      <c r="B54" t="s">
        <v>164</v>
      </c>
      <c r="C54" t="s">
        <v>22</v>
      </c>
      <c r="D54" t="s">
        <v>75</v>
      </c>
      <c r="E54" s="13" t="s">
        <v>165</v>
      </c>
      <c r="J54">
        <v>65</v>
      </c>
      <c r="K54">
        <f>120/60</f>
        <v>2</v>
      </c>
      <c r="M54" s="13">
        <f t="shared" si="0"/>
        <v>0.3010299956639812</v>
      </c>
      <c r="N54" s="16">
        <f t="shared" si="1"/>
        <v>-0.64979344195526079</v>
      </c>
      <c r="O54" t="s">
        <v>166</v>
      </c>
      <c r="P54">
        <v>2004</v>
      </c>
      <c r="Q54" t="s">
        <v>167</v>
      </c>
      <c r="R54" s="13" t="s">
        <v>168</v>
      </c>
    </row>
    <row r="55" spans="1:18" x14ac:dyDescent="0.25">
      <c r="A55" t="s">
        <v>153</v>
      </c>
      <c r="B55" t="s">
        <v>164</v>
      </c>
      <c r="C55" t="s">
        <v>22</v>
      </c>
      <c r="D55" t="s">
        <v>75</v>
      </c>
      <c r="E55" s="13" t="s">
        <v>165</v>
      </c>
      <c r="J55">
        <v>70</v>
      </c>
      <c r="K55">
        <f>82/60</f>
        <v>1.3666666666666667</v>
      </c>
      <c r="M55" s="13">
        <f t="shared" si="0"/>
        <v>0.13566260200007307</v>
      </c>
      <c r="N55" s="16">
        <f t="shared" si="1"/>
        <v>-1.3113383834306118</v>
      </c>
      <c r="O55" t="s">
        <v>166</v>
      </c>
      <c r="P55">
        <v>2004</v>
      </c>
      <c r="Q55" t="s">
        <v>167</v>
      </c>
      <c r="R55" s="13" t="s">
        <v>168</v>
      </c>
    </row>
    <row r="56" spans="1:18" x14ac:dyDescent="0.25">
      <c r="A56" t="s">
        <v>153</v>
      </c>
      <c r="B56" t="s">
        <v>164</v>
      </c>
      <c r="C56" t="s">
        <v>22</v>
      </c>
      <c r="D56" t="s">
        <v>75</v>
      </c>
      <c r="E56" s="13" t="s">
        <v>165</v>
      </c>
      <c r="J56">
        <v>74</v>
      </c>
      <c r="K56">
        <f>40/60</f>
        <v>0.66666666666666663</v>
      </c>
      <c r="M56" s="13">
        <f t="shared" si="0"/>
        <v>-0.17609125905568127</v>
      </c>
      <c r="N56" s="16">
        <f t="shared" si="1"/>
        <v>-1.8405743366108926</v>
      </c>
      <c r="O56" t="s">
        <v>166</v>
      </c>
      <c r="P56">
        <v>2004</v>
      </c>
      <c r="Q56" t="s">
        <v>167</v>
      </c>
      <c r="R56" s="13" t="s">
        <v>168</v>
      </c>
    </row>
    <row r="57" spans="1:18" x14ac:dyDescent="0.25">
      <c r="A57" t="s">
        <v>153</v>
      </c>
      <c r="B57" t="s">
        <v>164</v>
      </c>
      <c r="C57" t="s">
        <v>22</v>
      </c>
      <c r="D57" t="s">
        <v>75</v>
      </c>
      <c r="E57" s="13" t="s">
        <v>165</v>
      </c>
      <c r="J57">
        <v>80</v>
      </c>
      <c r="K57">
        <f>29/60</f>
        <v>0.48333333333333334</v>
      </c>
      <c r="M57" s="13">
        <f t="shared" si="0"/>
        <v>-0.31575325248468755</v>
      </c>
      <c r="N57" s="16">
        <f t="shared" si="1"/>
        <v>-2.6344282663813141</v>
      </c>
      <c r="O57" t="s">
        <v>166</v>
      </c>
      <c r="P57">
        <v>2004</v>
      </c>
      <c r="Q57" t="s">
        <v>167</v>
      </c>
      <c r="R57" s="13" t="s">
        <v>168</v>
      </c>
    </row>
    <row r="58" spans="1:18" x14ac:dyDescent="0.25">
      <c r="A58" t="s">
        <v>153</v>
      </c>
      <c r="B58" t="s">
        <v>163</v>
      </c>
      <c r="C58" t="s">
        <v>22</v>
      </c>
      <c r="D58" t="s">
        <v>91</v>
      </c>
      <c r="E58" s="12" t="s">
        <v>92</v>
      </c>
      <c r="J58">
        <v>55</v>
      </c>
      <c r="K58">
        <f>0.3*24*60</f>
        <v>431.99999999999994</v>
      </c>
      <c r="M58" s="12">
        <f t="shared" ref="M58:M61" si="8">LOG10(K58)</f>
        <v>2.6354837468149119</v>
      </c>
      <c r="N58" s="17">
        <f t="shared" si="1"/>
        <v>0.67329644099544117</v>
      </c>
      <c r="O58" t="s">
        <v>84</v>
      </c>
      <c r="P58">
        <v>2004</v>
      </c>
      <c r="Q58" t="s">
        <v>85</v>
      </c>
      <c r="R58" t="s">
        <v>81</v>
      </c>
    </row>
    <row r="59" spans="1:18" x14ac:dyDescent="0.25">
      <c r="A59" t="s">
        <v>153</v>
      </c>
      <c r="B59" t="s">
        <v>163</v>
      </c>
      <c r="C59" t="s">
        <v>22</v>
      </c>
      <c r="D59" t="s">
        <v>91</v>
      </c>
      <c r="E59" s="12" t="s">
        <v>92</v>
      </c>
      <c r="J59">
        <v>57</v>
      </c>
      <c r="K59">
        <f>0.3*24*60</f>
        <v>431.99999999999994</v>
      </c>
      <c r="M59" s="12">
        <f t="shared" si="8"/>
        <v>2.6354837468149119</v>
      </c>
      <c r="N59" s="17">
        <f t="shared" si="1"/>
        <v>0.40867846440530076</v>
      </c>
      <c r="O59" t="s">
        <v>84</v>
      </c>
      <c r="P59">
        <v>2004</v>
      </c>
      <c r="Q59" t="s">
        <v>85</v>
      </c>
      <c r="R59" t="s">
        <v>81</v>
      </c>
    </row>
    <row r="60" spans="1:18" x14ac:dyDescent="0.25">
      <c r="A60" t="s">
        <v>153</v>
      </c>
      <c r="B60" t="s">
        <v>160</v>
      </c>
      <c r="C60" t="s">
        <v>22</v>
      </c>
      <c r="D60" t="s">
        <v>91</v>
      </c>
      <c r="E60" s="12" t="s">
        <v>92</v>
      </c>
      <c r="J60">
        <v>55</v>
      </c>
      <c r="K60">
        <f>0.3*24*60</f>
        <v>431.99999999999994</v>
      </c>
      <c r="M60" s="12">
        <f t="shared" si="8"/>
        <v>2.6354837468149119</v>
      </c>
      <c r="N60" s="17">
        <f t="shared" si="1"/>
        <v>0.67329644099544117</v>
      </c>
      <c r="O60" t="s">
        <v>84</v>
      </c>
      <c r="P60">
        <v>2004</v>
      </c>
      <c r="Q60" t="s">
        <v>85</v>
      </c>
      <c r="R60" t="s">
        <v>81</v>
      </c>
    </row>
    <row r="61" spans="1:18" x14ac:dyDescent="0.25">
      <c r="A61" t="s">
        <v>153</v>
      </c>
      <c r="B61" t="s">
        <v>160</v>
      </c>
      <c r="C61" t="s">
        <v>22</v>
      </c>
      <c r="D61" t="s">
        <v>91</v>
      </c>
      <c r="E61" s="12" t="s">
        <v>92</v>
      </c>
      <c r="J61">
        <v>57</v>
      </c>
      <c r="K61">
        <f>0.2*24*60</f>
        <v>288.00000000000006</v>
      </c>
      <c r="M61" s="12">
        <f t="shared" si="8"/>
        <v>2.459392487759231</v>
      </c>
      <c r="N61" s="17">
        <f t="shared" si="1"/>
        <v>0.40867846440530076</v>
      </c>
      <c r="O61" t="s">
        <v>84</v>
      </c>
      <c r="P61">
        <v>2004</v>
      </c>
      <c r="Q61" t="s">
        <v>85</v>
      </c>
      <c r="R61" t="s">
        <v>81</v>
      </c>
    </row>
    <row r="62" spans="1:18" x14ac:dyDescent="0.25">
      <c r="O62" t="s">
        <v>169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110" zoomScaleNormal="110" workbookViewId="0">
      <pane ySplit="1" topLeftCell="A17" activePane="bottomLeft" state="frozen"/>
      <selection pane="bottomLeft" activeCell="B20" sqref="B20"/>
    </sheetView>
  </sheetViews>
  <sheetFormatPr baseColWidth="10" defaultColWidth="9.140625" defaultRowHeight="15" x14ac:dyDescent="0.25"/>
  <cols>
    <col min="1" max="1" width="31.85546875" customWidth="1"/>
    <col min="2" max="2" width="11.42578125" customWidth="1"/>
    <col min="3" max="3" width="8.28515625" customWidth="1"/>
    <col min="4" max="4" width="15.7109375" bestFit="1" customWidth="1"/>
    <col min="5" max="5" width="20.42578125" bestFit="1" customWidth="1"/>
    <col min="6" max="6" width="11.5703125" customWidth="1"/>
    <col min="7" max="7" width="3.7109375" bestFit="1" customWidth="1"/>
    <col min="8" max="8" width="9" customWidth="1"/>
    <col min="9" max="9" width="7.140625" customWidth="1"/>
    <col min="10" max="10" width="6.85546875" bestFit="1" customWidth="1"/>
    <col min="11" max="11" width="11.42578125" customWidth="1"/>
    <col min="12" max="12" width="6.5703125" bestFit="1" customWidth="1"/>
    <col min="13" max="13" width="5.42578125" bestFit="1" customWidth="1"/>
    <col min="14" max="14" width="13.140625" bestFit="1" customWidth="1"/>
    <col min="18" max="18" width="71.42578125" customWidth="1"/>
    <col min="20" max="20" width="11.5703125" customWidth="1"/>
    <col min="21" max="21" width="9.7109375" bestFit="1" customWidth="1"/>
    <col min="22" max="22" width="11.7109375" customWidth="1"/>
    <col min="24" max="24" width="20.140625" bestFit="1" customWidth="1"/>
    <col min="25" max="25" width="17.140625" bestFit="1" customWidth="1"/>
  </cols>
  <sheetData>
    <row r="1" spans="1:26" s="6" customFormat="1" ht="10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96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97</v>
      </c>
      <c r="N1" s="5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T1" s="14" t="s">
        <v>98</v>
      </c>
    </row>
    <row r="2" spans="1:26" x14ac:dyDescent="0.25">
      <c r="A2" t="s">
        <v>170</v>
      </c>
      <c r="B2" t="s">
        <v>171</v>
      </c>
      <c r="C2" t="s">
        <v>172</v>
      </c>
      <c r="D2" t="s">
        <v>173</v>
      </c>
      <c r="E2" t="s">
        <v>174</v>
      </c>
      <c r="F2" t="s">
        <v>25</v>
      </c>
      <c r="I2" t="s">
        <v>175</v>
      </c>
      <c r="J2">
        <v>60</v>
      </c>
      <c r="K2">
        <v>4.4000000000000004</v>
      </c>
      <c r="M2">
        <f>LOG10(K2)</f>
        <v>0.64345267648618742</v>
      </c>
      <c r="N2" s="15">
        <f>$U$8-(J2-$U$4)/$U$3</f>
        <v>0.82329997286229173</v>
      </c>
      <c r="O2" t="s">
        <v>176</v>
      </c>
      <c r="P2">
        <v>2017</v>
      </c>
      <c r="R2" t="s">
        <v>177</v>
      </c>
      <c r="T2" t="s">
        <v>28</v>
      </c>
      <c r="U2" t="s">
        <v>30</v>
      </c>
    </row>
    <row r="3" spans="1:26" x14ac:dyDescent="0.25">
      <c r="A3" t="s">
        <v>170</v>
      </c>
      <c r="B3" t="s">
        <v>171</v>
      </c>
      <c r="C3" t="s">
        <v>172</v>
      </c>
      <c r="D3" t="s">
        <v>173</v>
      </c>
      <c r="E3" t="s">
        <v>174</v>
      </c>
      <c r="F3" t="s">
        <v>25</v>
      </c>
      <c r="I3" t="s">
        <v>175</v>
      </c>
      <c r="J3">
        <v>70</v>
      </c>
      <c r="K3">
        <v>3.7</v>
      </c>
      <c r="M3">
        <f t="shared" ref="M3:M17" si="0">LOG10(K3)</f>
        <v>0.56820172406699498</v>
      </c>
      <c r="N3" s="15">
        <f t="shared" ref="N3:N17" si="1">$U$8-(J3-$U$4)/$U$3</f>
        <v>0.79766574557678127</v>
      </c>
      <c r="O3" t="s">
        <v>176</v>
      </c>
      <c r="P3">
        <v>2017</v>
      </c>
      <c r="R3" t="s">
        <v>177</v>
      </c>
      <c r="T3" t="s">
        <v>31</v>
      </c>
      <c r="U3" s="8">
        <f>-1/SLOPE(M2:M17,J2:J17)</f>
        <v>390.10343041049788</v>
      </c>
      <c r="V3" s="18">
        <f>SLOPE(M2:M17,J2:J17)</f>
        <v>-2.5634227285510421E-3</v>
      </c>
      <c r="W3" t="s">
        <v>32</v>
      </c>
    </row>
    <row r="4" spans="1:26" x14ac:dyDescent="0.25">
      <c r="A4" t="s">
        <v>170</v>
      </c>
      <c r="B4" t="s">
        <v>171</v>
      </c>
      <c r="C4" t="s">
        <v>172</v>
      </c>
      <c r="D4" t="s">
        <v>173</v>
      </c>
      <c r="E4" t="s">
        <v>174</v>
      </c>
      <c r="F4" t="s">
        <v>25</v>
      </c>
      <c r="I4" t="s">
        <v>175</v>
      </c>
      <c r="J4">
        <v>80</v>
      </c>
      <c r="K4">
        <v>2.4</v>
      </c>
      <c r="M4">
        <f t="shared" si="0"/>
        <v>0.38021124171160603</v>
      </c>
      <c r="N4" s="15">
        <f t="shared" si="1"/>
        <v>0.77203151829127081</v>
      </c>
      <c r="O4" t="s">
        <v>176</v>
      </c>
      <c r="P4">
        <v>2017</v>
      </c>
      <c r="R4" t="s">
        <v>177</v>
      </c>
      <c r="T4" t="s">
        <v>34</v>
      </c>
      <c r="U4">
        <v>70</v>
      </c>
    </row>
    <row r="5" spans="1:26" x14ac:dyDescent="0.25">
      <c r="A5" t="s">
        <v>170</v>
      </c>
      <c r="B5" t="s">
        <v>171</v>
      </c>
      <c r="C5" t="s">
        <v>172</v>
      </c>
      <c r="D5" t="s">
        <v>173</v>
      </c>
      <c r="E5" t="s">
        <v>174</v>
      </c>
      <c r="F5" t="s">
        <v>25</v>
      </c>
      <c r="I5" t="s">
        <v>175</v>
      </c>
      <c r="J5">
        <v>90</v>
      </c>
      <c r="K5">
        <v>2.2999999999999998</v>
      </c>
      <c r="M5">
        <f t="shared" si="0"/>
        <v>0.36172783601759284</v>
      </c>
      <c r="N5" s="15">
        <f t="shared" si="1"/>
        <v>0.74639729100576047</v>
      </c>
      <c r="O5" t="s">
        <v>176</v>
      </c>
      <c r="P5">
        <v>2017</v>
      </c>
      <c r="R5" t="s">
        <v>177</v>
      </c>
      <c r="T5" t="s">
        <v>35</v>
      </c>
      <c r="U5" s="8">
        <f>TINV(0.05,COUNT(M2:M17)-2)</f>
        <v>2.1447866879178044</v>
      </c>
    </row>
    <row r="6" spans="1:26" x14ac:dyDescent="0.25">
      <c r="A6" t="s">
        <v>170</v>
      </c>
      <c r="B6" t="s">
        <v>171</v>
      </c>
      <c r="C6" t="s">
        <v>172</v>
      </c>
      <c r="D6" t="s">
        <v>173</v>
      </c>
      <c r="E6" t="s">
        <v>174</v>
      </c>
      <c r="F6" t="s">
        <v>25</v>
      </c>
      <c r="I6" t="s">
        <v>175</v>
      </c>
      <c r="J6">
        <v>60</v>
      </c>
      <c r="K6" s="7">
        <v>12.5</v>
      </c>
      <c r="M6">
        <f t="shared" si="0"/>
        <v>1.0969100130080565</v>
      </c>
      <c r="N6" s="15">
        <f t="shared" si="1"/>
        <v>0.82329997286229173</v>
      </c>
      <c r="O6" t="s">
        <v>176</v>
      </c>
      <c r="P6">
        <v>2017</v>
      </c>
      <c r="R6" t="s">
        <v>178</v>
      </c>
      <c r="T6" t="s">
        <v>37</v>
      </c>
      <c r="U6" s="8">
        <f>SUMXMY2(M2:M17,N2:N17)</f>
        <v>1.3961822801859474</v>
      </c>
    </row>
    <row r="7" spans="1:26" x14ac:dyDescent="0.25">
      <c r="A7" t="s">
        <v>170</v>
      </c>
      <c r="B7" t="s">
        <v>171</v>
      </c>
      <c r="C7" t="s">
        <v>172</v>
      </c>
      <c r="D7" t="s">
        <v>173</v>
      </c>
      <c r="E7" t="s">
        <v>174</v>
      </c>
      <c r="F7" t="s">
        <v>25</v>
      </c>
      <c r="I7" t="s">
        <v>175</v>
      </c>
      <c r="J7">
        <v>70</v>
      </c>
      <c r="K7" s="7">
        <v>11.111111111111111</v>
      </c>
      <c r="M7">
        <f t="shared" si="0"/>
        <v>1.045757490560675</v>
      </c>
      <c r="N7" s="15">
        <f t="shared" si="1"/>
        <v>0.79766574557678127</v>
      </c>
      <c r="O7" t="s">
        <v>176</v>
      </c>
      <c r="P7">
        <v>2017</v>
      </c>
      <c r="R7" t="s">
        <v>178</v>
      </c>
      <c r="T7" t="s">
        <v>38</v>
      </c>
      <c r="U7" s="8">
        <f>SQRT(U6/(COUNT(M2:M17)-2))</f>
        <v>0.31579630417021615</v>
      </c>
      <c r="Z7" s="20" t="s">
        <v>39</v>
      </c>
    </row>
    <row r="8" spans="1:26" x14ac:dyDescent="0.25">
      <c r="A8" t="s">
        <v>170</v>
      </c>
      <c r="B8" t="s">
        <v>171</v>
      </c>
      <c r="C8" t="s">
        <v>172</v>
      </c>
      <c r="D8" t="s">
        <v>173</v>
      </c>
      <c r="E8" t="s">
        <v>174</v>
      </c>
      <c r="F8" t="s">
        <v>25</v>
      </c>
      <c r="I8" t="s">
        <v>175</v>
      </c>
      <c r="J8">
        <v>80</v>
      </c>
      <c r="K8" s="7">
        <v>8.8235294117647065</v>
      </c>
      <c r="M8">
        <f t="shared" si="0"/>
        <v>0.94564233767740735</v>
      </c>
      <c r="N8" s="15">
        <f t="shared" si="1"/>
        <v>0.77203151829127081</v>
      </c>
      <c r="O8" t="s">
        <v>176</v>
      </c>
      <c r="P8">
        <v>2017</v>
      </c>
      <c r="R8" t="s">
        <v>178</v>
      </c>
      <c r="T8" t="s">
        <v>42</v>
      </c>
      <c r="U8" s="8">
        <f>INTERCEPT(M2:M17,J2:J17)-U4/U3</f>
        <v>0.79766574557678127</v>
      </c>
      <c r="V8" s="8">
        <f>INTERCEPT(M2:M17,J2:J17)</f>
        <v>0.97710533657535414</v>
      </c>
      <c r="W8" t="s">
        <v>43</v>
      </c>
      <c r="X8" t="s">
        <v>44</v>
      </c>
      <c r="Y8" s="8">
        <f>10^U8</f>
        <v>6.2757516013773964</v>
      </c>
      <c r="Z8" s="21">
        <f>30/Y8</f>
        <v>4.78030392302583</v>
      </c>
    </row>
    <row r="9" spans="1:26" x14ac:dyDescent="0.25">
      <c r="A9" t="s">
        <v>170</v>
      </c>
      <c r="B9" t="s">
        <v>171</v>
      </c>
      <c r="C9" t="s">
        <v>172</v>
      </c>
      <c r="D9" t="s">
        <v>173</v>
      </c>
      <c r="E9" t="s">
        <v>174</v>
      </c>
      <c r="F9" t="s">
        <v>25</v>
      </c>
      <c r="I9" t="s">
        <v>175</v>
      </c>
      <c r="J9">
        <v>90</v>
      </c>
      <c r="K9" s="7">
        <v>7.6923076923076925</v>
      </c>
      <c r="M9">
        <f t="shared" si="0"/>
        <v>0.88605664769316328</v>
      </c>
      <c r="N9" s="15">
        <f t="shared" si="1"/>
        <v>0.74639729100576047</v>
      </c>
      <c r="O9" t="s">
        <v>176</v>
      </c>
      <c r="P9">
        <v>2017</v>
      </c>
      <c r="R9" t="s">
        <v>178</v>
      </c>
      <c r="T9" t="s">
        <v>45</v>
      </c>
      <c r="U9" s="8">
        <f>U8+U5*U7</f>
        <v>1.4749814548547027</v>
      </c>
      <c r="X9" t="s">
        <v>46</v>
      </c>
      <c r="Y9" s="8">
        <f>10^U9</f>
        <v>29.852551405025498</v>
      </c>
      <c r="Z9" s="21">
        <f>30/Y9</f>
        <v>1.0049392292462371</v>
      </c>
    </row>
    <row r="10" spans="1:26" x14ac:dyDescent="0.25">
      <c r="A10" t="s">
        <v>170</v>
      </c>
      <c r="B10" t="s">
        <v>171</v>
      </c>
      <c r="C10" t="s">
        <v>172</v>
      </c>
      <c r="D10" t="s">
        <v>179</v>
      </c>
      <c r="E10" t="s">
        <v>180</v>
      </c>
      <c r="F10" t="s">
        <v>25</v>
      </c>
      <c r="I10">
        <v>5.82</v>
      </c>
      <c r="J10">
        <v>120</v>
      </c>
      <c r="K10">
        <v>16.52</v>
      </c>
      <c r="M10">
        <f t="shared" si="0"/>
        <v>1.2180100429843634</v>
      </c>
      <c r="N10" s="15">
        <f t="shared" si="1"/>
        <v>0.6694946091492292</v>
      </c>
      <c r="O10" t="s">
        <v>176</v>
      </c>
      <c r="P10">
        <v>2016</v>
      </c>
      <c r="R10" t="s">
        <v>181</v>
      </c>
    </row>
    <row r="11" spans="1:26" x14ac:dyDescent="0.25">
      <c r="A11" t="s">
        <v>170</v>
      </c>
      <c r="B11" t="s">
        <v>171</v>
      </c>
      <c r="C11" t="s">
        <v>172</v>
      </c>
      <c r="D11" t="s">
        <v>179</v>
      </c>
      <c r="E11" t="s">
        <v>180</v>
      </c>
      <c r="F11" t="s">
        <v>25</v>
      </c>
      <c r="I11">
        <v>5.82</v>
      </c>
      <c r="J11">
        <v>130</v>
      </c>
      <c r="K11">
        <v>2.85</v>
      </c>
      <c r="M11">
        <f t="shared" si="0"/>
        <v>0.45484486000851021</v>
      </c>
      <c r="N11" s="15">
        <f t="shared" si="1"/>
        <v>0.64386038186371874</v>
      </c>
      <c r="O11" t="s">
        <v>176</v>
      </c>
      <c r="P11">
        <v>2016</v>
      </c>
      <c r="R11" t="s">
        <v>181</v>
      </c>
      <c r="T11" t="s">
        <v>48</v>
      </c>
      <c r="U11" t="s">
        <v>107</v>
      </c>
      <c r="V11" t="s">
        <v>108</v>
      </c>
    </row>
    <row r="12" spans="1:26" x14ac:dyDescent="0.25">
      <c r="A12" t="s">
        <v>170</v>
      </c>
      <c r="B12" t="s">
        <v>171</v>
      </c>
      <c r="C12" t="s">
        <v>172</v>
      </c>
      <c r="D12" t="s">
        <v>179</v>
      </c>
      <c r="E12" t="s">
        <v>180</v>
      </c>
      <c r="F12" t="s">
        <v>25</v>
      </c>
      <c r="I12">
        <v>5.82</v>
      </c>
      <c r="J12">
        <v>140</v>
      </c>
      <c r="K12">
        <v>2.1</v>
      </c>
      <c r="M12">
        <f t="shared" si="0"/>
        <v>0.3222192947339193</v>
      </c>
      <c r="N12" s="15">
        <f t="shared" si="1"/>
        <v>0.6182261545782084</v>
      </c>
      <c r="O12" t="s">
        <v>176</v>
      </c>
      <c r="P12">
        <v>2016</v>
      </c>
      <c r="R12" t="s">
        <v>181</v>
      </c>
      <c r="T12">
        <v>45</v>
      </c>
      <c r="U12" s="15">
        <f>$U$8-(T12-$U$4)/$U$3</f>
        <v>0.86175131379055736</v>
      </c>
      <c r="V12" s="8">
        <f>U12+$U$7*$U$5</f>
        <v>1.5390670230684789</v>
      </c>
    </row>
    <row r="13" spans="1:26" x14ac:dyDescent="0.25">
      <c r="A13" t="s">
        <v>170</v>
      </c>
      <c r="B13" t="s">
        <v>171</v>
      </c>
      <c r="C13" t="s">
        <v>172</v>
      </c>
      <c r="D13" t="s">
        <v>179</v>
      </c>
      <c r="E13" t="s">
        <v>180</v>
      </c>
      <c r="F13" t="s">
        <v>25</v>
      </c>
      <c r="I13">
        <v>5.82</v>
      </c>
      <c r="J13">
        <v>145</v>
      </c>
      <c r="K13">
        <v>1.3</v>
      </c>
      <c r="M13">
        <f t="shared" si="0"/>
        <v>0.11394335230683679</v>
      </c>
      <c r="N13" s="15">
        <f t="shared" si="1"/>
        <v>0.60540904093545311</v>
      </c>
      <c r="O13" t="s">
        <v>176</v>
      </c>
      <c r="P13">
        <v>2016</v>
      </c>
      <c r="R13" t="s">
        <v>181</v>
      </c>
      <c r="T13">
        <f>T12+5</f>
        <v>50</v>
      </c>
      <c r="U13" s="15">
        <f t="shared" ref="U13:U33" si="2">$U$8-(T13-$U$4)/$U$3</f>
        <v>0.84893420014780208</v>
      </c>
      <c r="V13" s="8">
        <f t="shared" ref="V13:V33" si="3">U13+$U$7*$U$5</f>
        <v>1.5262499094257236</v>
      </c>
    </row>
    <row r="14" spans="1:26" x14ac:dyDescent="0.25">
      <c r="A14" t="s">
        <v>170</v>
      </c>
      <c r="B14" t="s">
        <v>171</v>
      </c>
      <c r="C14" t="s">
        <v>172</v>
      </c>
      <c r="D14" t="s">
        <v>179</v>
      </c>
      <c r="E14" t="s">
        <v>180</v>
      </c>
      <c r="F14" t="s">
        <v>25</v>
      </c>
      <c r="I14">
        <v>5.82</v>
      </c>
      <c r="J14">
        <v>120</v>
      </c>
      <c r="K14">
        <v>8.07</v>
      </c>
      <c r="M14">
        <f t="shared" si="0"/>
        <v>0.90687353472207044</v>
      </c>
      <c r="N14" s="15">
        <f t="shared" si="1"/>
        <v>0.6694946091492292</v>
      </c>
      <c r="O14" t="s">
        <v>176</v>
      </c>
      <c r="P14">
        <v>2016</v>
      </c>
      <c r="R14" t="s">
        <v>182</v>
      </c>
      <c r="T14">
        <f t="shared" ref="T14:T27" si="4">T13+5</f>
        <v>55</v>
      </c>
      <c r="U14" s="15">
        <f t="shared" si="2"/>
        <v>0.8361170865050469</v>
      </c>
      <c r="V14" s="8">
        <f t="shared" si="3"/>
        <v>1.5134327957829683</v>
      </c>
    </row>
    <row r="15" spans="1:26" x14ac:dyDescent="0.25">
      <c r="A15" t="s">
        <v>170</v>
      </c>
      <c r="B15" t="s">
        <v>171</v>
      </c>
      <c r="C15" t="s">
        <v>172</v>
      </c>
      <c r="D15" t="s">
        <v>179</v>
      </c>
      <c r="E15" t="s">
        <v>180</v>
      </c>
      <c r="F15" t="s">
        <v>25</v>
      </c>
      <c r="I15">
        <v>5.82</v>
      </c>
      <c r="J15">
        <v>130</v>
      </c>
      <c r="K15">
        <v>6.05</v>
      </c>
      <c r="M15">
        <f t="shared" si="0"/>
        <v>0.78175537465246892</v>
      </c>
      <c r="N15" s="15">
        <f t="shared" si="1"/>
        <v>0.64386038186371874</v>
      </c>
      <c r="O15" t="s">
        <v>176</v>
      </c>
      <c r="P15">
        <v>2016</v>
      </c>
      <c r="R15" t="s">
        <v>182</v>
      </c>
      <c r="T15">
        <f t="shared" si="4"/>
        <v>60</v>
      </c>
      <c r="U15" s="15">
        <f t="shared" si="2"/>
        <v>0.82329997286229173</v>
      </c>
      <c r="V15" s="8">
        <f t="shared" si="3"/>
        <v>1.500615682140213</v>
      </c>
    </row>
    <row r="16" spans="1:26" x14ac:dyDescent="0.25">
      <c r="A16" t="s">
        <v>170</v>
      </c>
      <c r="B16" t="s">
        <v>171</v>
      </c>
      <c r="C16" t="s">
        <v>172</v>
      </c>
      <c r="D16" t="s">
        <v>179</v>
      </c>
      <c r="E16" t="s">
        <v>180</v>
      </c>
      <c r="F16" t="s">
        <v>25</v>
      </c>
      <c r="I16">
        <v>5.82</v>
      </c>
      <c r="J16">
        <v>140</v>
      </c>
      <c r="K16">
        <v>6.26</v>
      </c>
      <c r="M16">
        <f t="shared" si="0"/>
        <v>0.7965743332104297</v>
      </c>
      <c r="N16" s="15">
        <f t="shared" si="1"/>
        <v>0.6182261545782084</v>
      </c>
      <c r="O16" t="s">
        <v>176</v>
      </c>
      <c r="P16">
        <v>2016</v>
      </c>
      <c r="R16" t="s">
        <v>182</v>
      </c>
      <c r="T16">
        <f t="shared" si="4"/>
        <v>65</v>
      </c>
      <c r="U16" s="15">
        <f t="shared" si="2"/>
        <v>0.81048285921953644</v>
      </c>
      <c r="V16" s="8">
        <f t="shared" si="3"/>
        <v>1.4877985684974577</v>
      </c>
    </row>
    <row r="17" spans="1:22" x14ac:dyDescent="0.25">
      <c r="A17" t="s">
        <v>170</v>
      </c>
      <c r="B17" t="s">
        <v>171</v>
      </c>
      <c r="C17" t="s">
        <v>172</v>
      </c>
      <c r="D17" t="s">
        <v>179</v>
      </c>
      <c r="E17" t="s">
        <v>180</v>
      </c>
      <c r="F17" t="s">
        <v>25</v>
      </c>
      <c r="I17">
        <v>5.82</v>
      </c>
      <c r="J17">
        <v>145</v>
      </c>
      <c r="K17">
        <v>6.77</v>
      </c>
      <c r="M17">
        <f t="shared" si="0"/>
        <v>0.83058866868514425</v>
      </c>
      <c r="N17" s="15">
        <f t="shared" si="1"/>
        <v>0.60540904093545311</v>
      </c>
      <c r="O17" t="s">
        <v>176</v>
      </c>
      <c r="P17">
        <v>2016</v>
      </c>
      <c r="R17" t="s">
        <v>182</v>
      </c>
      <c r="T17">
        <f t="shared" si="4"/>
        <v>70</v>
      </c>
      <c r="U17" s="15">
        <f t="shared" si="2"/>
        <v>0.79766574557678127</v>
      </c>
      <c r="V17" s="8">
        <f t="shared" si="3"/>
        <v>1.4749814548547027</v>
      </c>
    </row>
    <row r="18" spans="1:22" x14ac:dyDescent="0.25">
      <c r="T18">
        <f t="shared" si="4"/>
        <v>75</v>
      </c>
      <c r="U18" s="15">
        <f t="shared" si="2"/>
        <v>0.7848486319340261</v>
      </c>
      <c r="V18" s="8">
        <f t="shared" si="3"/>
        <v>1.4621643412119476</v>
      </c>
    </row>
    <row r="19" spans="1:22" x14ac:dyDescent="0.25">
      <c r="B19" t="s">
        <v>183</v>
      </c>
      <c r="T19">
        <f t="shared" si="4"/>
        <v>80</v>
      </c>
      <c r="U19" s="15">
        <f t="shared" si="2"/>
        <v>0.77203151829127081</v>
      </c>
      <c r="V19" s="8">
        <f t="shared" si="3"/>
        <v>1.4493472275691923</v>
      </c>
    </row>
    <row r="20" spans="1:22" x14ac:dyDescent="0.25">
      <c r="T20">
        <f t="shared" si="4"/>
        <v>85</v>
      </c>
      <c r="U20" s="15">
        <f t="shared" si="2"/>
        <v>0.75921440464851564</v>
      </c>
      <c r="V20" s="8">
        <f t="shared" si="3"/>
        <v>1.436530113926437</v>
      </c>
    </row>
    <row r="21" spans="1:22" x14ac:dyDescent="0.25">
      <c r="T21">
        <f t="shared" si="4"/>
        <v>90</v>
      </c>
      <c r="U21" s="15">
        <f t="shared" si="2"/>
        <v>0.74639729100576047</v>
      </c>
      <c r="V21" s="8">
        <f t="shared" si="3"/>
        <v>1.4237130002836818</v>
      </c>
    </row>
    <row r="22" spans="1:22" x14ac:dyDescent="0.25">
      <c r="T22">
        <f t="shared" si="4"/>
        <v>95</v>
      </c>
      <c r="U22" s="15">
        <f t="shared" si="2"/>
        <v>0.73358017736300518</v>
      </c>
      <c r="V22" s="8">
        <f t="shared" si="3"/>
        <v>1.4108958866409265</v>
      </c>
    </row>
    <row r="23" spans="1:22" x14ac:dyDescent="0.25">
      <c r="T23">
        <f t="shared" si="4"/>
        <v>100</v>
      </c>
      <c r="U23" s="15">
        <f t="shared" si="2"/>
        <v>0.72076306372025001</v>
      </c>
      <c r="V23" s="8">
        <f t="shared" si="3"/>
        <v>1.3980787729981714</v>
      </c>
    </row>
    <row r="24" spans="1:22" x14ac:dyDescent="0.25">
      <c r="T24">
        <f t="shared" si="4"/>
        <v>105</v>
      </c>
      <c r="U24" s="15">
        <f t="shared" si="2"/>
        <v>0.70794595007749483</v>
      </c>
      <c r="V24" s="8">
        <f t="shared" si="3"/>
        <v>1.3852616593554163</v>
      </c>
    </row>
    <row r="25" spans="1:22" x14ac:dyDescent="0.25">
      <c r="T25">
        <f t="shared" si="4"/>
        <v>110</v>
      </c>
      <c r="U25" s="15">
        <f t="shared" si="2"/>
        <v>0.69512883643473955</v>
      </c>
      <c r="V25" s="8">
        <f t="shared" si="3"/>
        <v>1.3724445457126611</v>
      </c>
    </row>
    <row r="26" spans="1:22" x14ac:dyDescent="0.25">
      <c r="T26">
        <f t="shared" si="4"/>
        <v>115</v>
      </c>
      <c r="U26" s="15">
        <f t="shared" si="2"/>
        <v>0.68231172279198438</v>
      </c>
      <c r="V26" s="8">
        <f t="shared" si="3"/>
        <v>1.3596274320699058</v>
      </c>
    </row>
    <row r="27" spans="1:22" x14ac:dyDescent="0.25">
      <c r="T27">
        <f t="shared" si="4"/>
        <v>120</v>
      </c>
      <c r="U27" s="15">
        <f t="shared" si="2"/>
        <v>0.6694946091492292</v>
      </c>
      <c r="V27" s="8">
        <f t="shared" si="3"/>
        <v>1.3468103184271505</v>
      </c>
    </row>
    <row r="28" spans="1:22" x14ac:dyDescent="0.25">
      <c r="T28">
        <v>125</v>
      </c>
      <c r="U28" s="15">
        <f t="shared" si="2"/>
        <v>0.65667749550647403</v>
      </c>
      <c r="V28" s="8">
        <f t="shared" si="3"/>
        <v>1.3339932047843954</v>
      </c>
    </row>
    <row r="29" spans="1:22" x14ac:dyDescent="0.25">
      <c r="T29">
        <v>130</v>
      </c>
      <c r="U29" s="15">
        <f t="shared" si="2"/>
        <v>0.64386038186371874</v>
      </c>
      <c r="V29" s="8">
        <f t="shared" si="3"/>
        <v>1.3211760911416401</v>
      </c>
    </row>
    <row r="30" spans="1:22" x14ac:dyDescent="0.25">
      <c r="T30">
        <v>135</v>
      </c>
      <c r="U30" s="15">
        <f t="shared" si="2"/>
        <v>0.63104326822096357</v>
      </c>
      <c r="V30" s="8">
        <f t="shared" si="3"/>
        <v>1.3083589774988851</v>
      </c>
    </row>
    <row r="31" spans="1:22" x14ac:dyDescent="0.25">
      <c r="T31">
        <v>140</v>
      </c>
      <c r="U31" s="15">
        <f t="shared" si="2"/>
        <v>0.6182261545782084</v>
      </c>
      <c r="V31" s="8">
        <f t="shared" si="3"/>
        <v>1.2955418638561298</v>
      </c>
    </row>
    <row r="32" spans="1:22" x14ac:dyDescent="0.25">
      <c r="T32">
        <v>145</v>
      </c>
      <c r="U32" s="15">
        <f t="shared" si="2"/>
        <v>0.60540904093545311</v>
      </c>
      <c r="V32" s="8">
        <f t="shared" si="3"/>
        <v>1.2827247502133745</v>
      </c>
    </row>
    <row r="33" spans="20:22" x14ac:dyDescent="0.25">
      <c r="T33">
        <v>150</v>
      </c>
      <c r="U33" s="15">
        <f t="shared" si="2"/>
        <v>0.59259192729269794</v>
      </c>
      <c r="V33" s="8">
        <f t="shared" si="3"/>
        <v>1.2699076365706192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opLeftCell="A4" workbookViewId="0">
      <selection activeCell="Z9" sqref="Z9"/>
    </sheetView>
  </sheetViews>
  <sheetFormatPr baseColWidth="10" defaultColWidth="9.140625" defaultRowHeight="15" x14ac:dyDescent="0.25"/>
  <cols>
    <col min="1" max="1" width="18.85546875" bestFit="1" customWidth="1"/>
    <col min="18" max="18" width="83" bestFit="1" customWidth="1"/>
    <col min="20" max="20" width="11.5703125" customWidth="1"/>
    <col min="21" max="21" width="9.7109375" bestFit="1" customWidth="1"/>
    <col min="22" max="22" width="11.7109375" customWidth="1"/>
    <col min="24" max="24" width="20.140625" bestFit="1" customWidth="1"/>
    <col min="25" max="25" width="18.85546875" bestFit="1" customWidth="1"/>
  </cols>
  <sheetData>
    <row r="1" spans="1:26" s="6" customFormat="1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96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184</v>
      </c>
      <c r="N1" s="5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T1" s="14" t="s">
        <v>98</v>
      </c>
    </row>
    <row r="2" spans="1:26" x14ac:dyDescent="0.25">
      <c r="A2" t="s">
        <v>185</v>
      </c>
      <c r="B2" t="s">
        <v>186</v>
      </c>
      <c r="D2" t="s">
        <v>70</v>
      </c>
      <c r="E2" t="s">
        <v>70</v>
      </c>
      <c r="J2">
        <v>50</v>
      </c>
      <c r="K2">
        <f>5*60/3.5</f>
        <v>85.714285714285708</v>
      </c>
      <c r="M2">
        <f>LOG10(K2)</f>
        <v>1.9330532103693867</v>
      </c>
      <c r="N2" s="15">
        <f>$U$8-(J2-$U$4)/$U$3</f>
        <v>1.817103025905014</v>
      </c>
      <c r="O2" t="s">
        <v>187</v>
      </c>
      <c r="P2">
        <v>1999</v>
      </c>
      <c r="Q2" t="s">
        <v>188</v>
      </c>
      <c r="R2" t="s">
        <v>189</v>
      </c>
      <c r="T2" t="s">
        <v>28</v>
      </c>
      <c r="U2" t="s">
        <v>30</v>
      </c>
    </row>
    <row r="3" spans="1:26" x14ac:dyDescent="0.25">
      <c r="A3" t="s">
        <v>185</v>
      </c>
      <c r="B3" t="s">
        <v>186</v>
      </c>
      <c r="D3" t="s">
        <v>117</v>
      </c>
      <c r="E3" t="s">
        <v>190</v>
      </c>
      <c r="J3">
        <v>56</v>
      </c>
      <c r="K3">
        <f>2/(5.8-5.2)</f>
        <v>3.3333333333333353</v>
      </c>
      <c r="M3">
        <f t="shared" ref="M3:M15" si="0">LOG10(K3)</f>
        <v>0.52287874528033784</v>
      </c>
      <c r="N3" s="15">
        <f t="shared" ref="N3:N15" si="1">$U$8-(J3-$U$4)/$U$3</f>
        <v>0.77146216458777772</v>
      </c>
      <c r="O3" t="s">
        <v>187</v>
      </c>
      <c r="P3">
        <v>1999</v>
      </c>
      <c r="Q3" t="s">
        <v>188</v>
      </c>
      <c r="R3" t="s">
        <v>191</v>
      </c>
      <c r="T3" t="s">
        <v>31</v>
      </c>
      <c r="U3" s="8">
        <f>-1/SLOPE(M2:M15,J2:J15)</f>
        <v>5.738107816905277</v>
      </c>
      <c r="V3" s="18">
        <f>SLOPE(M2:M15,J2:J15)</f>
        <v>-0.17427347688620604</v>
      </c>
      <c r="W3" t="s">
        <v>32</v>
      </c>
    </row>
    <row r="4" spans="1:26" x14ac:dyDescent="0.25">
      <c r="A4" t="s">
        <v>185</v>
      </c>
      <c r="B4" t="s">
        <v>186</v>
      </c>
      <c r="D4" t="s">
        <v>117</v>
      </c>
      <c r="E4" t="s">
        <v>190</v>
      </c>
      <c r="J4">
        <v>60</v>
      </c>
      <c r="K4">
        <f>2/(5.8-5)</f>
        <v>2.5000000000000004</v>
      </c>
      <c r="M4">
        <f t="shared" si="0"/>
        <v>0.39794000867203766</v>
      </c>
      <c r="N4" s="15">
        <f t="shared" si="1"/>
        <v>7.4368257042953578E-2</v>
      </c>
      <c r="O4" t="s">
        <v>187</v>
      </c>
      <c r="P4">
        <v>1999</v>
      </c>
      <c r="Q4" t="s">
        <v>188</v>
      </c>
      <c r="R4" t="s">
        <v>191</v>
      </c>
      <c r="T4" t="s">
        <v>34</v>
      </c>
      <c r="U4">
        <v>70</v>
      </c>
    </row>
    <row r="5" spans="1:26" x14ac:dyDescent="0.25">
      <c r="A5" t="s">
        <v>185</v>
      </c>
      <c r="B5" t="s">
        <v>186</v>
      </c>
      <c r="D5" t="s">
        <v>117</v>
      </c>
      <c r="E5" t="s">
        <v>192</v>
      </c>
      <c r="J5">
        <v>56</v>
      </c>
      <c r="K5">
        <f>2/(5.8-5.2)</f>
        <v>3.3333333333333353</v>
      </c>
      <c r="M5">
        <f t="shared" si="0"/>
        <v>0.52287874528033784</v>
      </c>
      <c r="N5" s="15">
        <f t="shared" si="1"/>
        <v>0.77146216458777772</v>
      </c>
      <c r="O5" t="s">
        <v>187</v>
      </c>
      <c r="P5">
        <v>1999</v>
      </c>
      <c r="Q5" t="s">
        <v>188</v>
      </c>
      <c r="R5" t="s">
        <v>191</v>
      </c>
      <c r="T5" t="s">
        <v>35</v>
      </c>
      <c r="U5" s="8">
        <f>TINV(0.05,COUNT(M2:M15)-2)</f>
        <v>2.1788128296672284</v>
      </c>
    </row>
    <row r="6" spans="1:26" x14ac:dyDescent="0.25">
      <c r="A6" t="s">
        <v>185</v>
      </c>
      <c r="B6" t="s">
        <v>186</v>
      </c>
      <c r="D6" t="s">
        <v>117</v>
      </c>
      <c r="E6" t="s">
        <v>192</v>
      </c>
      <c r="J6">
        <v>60</v>
      </c>
      <c r="K6">
        <f>1/(5.8-4)</f>
        <v>0.55555555555555558</v>
      </c>
      <c r="M6">
        <f t="shared" si="0"/>
        <v>-0.25527250510330607</v>
      </c>
      <c r="N6" s="15">
        <f t="shared" si="1"/>
        <v>7.4368257042953578E-2</v>
      </c>
      <c r="O6" t="s">
        <v>187</v>
      </c>
      <c r="P6">
        <v>1999</v>
      </c>
      <c r="Q6" t="s">
        <v>188</v>
      </c>
      <c r="R6" t="s">
        <v>191</v>
      </c>
      <c r="T6" t="s">
        <v>37</v>
      </c>
      <c r="U6" s="8">
        <f>SUMXMY2(M2:M15,N2:N15)</f>
        <v>1.3223621959627994</v>
      </c>
    </row>
    <row r="7" spans="1:26" x14ac:dyDescent="0.25">
      <c r="A7" t="s">
        <v>185</v>
      </c>
      <c r="B7" t="s">
        <v>186</v>
      </c>
      <c r="D7" t="s">
        <v>117</v>
      </c>
      <c r="E7" t="s">
        <v>193</v>
      </c>
      <c r="J7">
        <v>56</v>
      </c>
      <c r="K7">
        <f>2/(5.8-5.2)</f>
        <v>3.3333333333333353</v>
      </c>
      <c r="M7">
        <f t="shared" si="0"/>
        <v>0.52287874528033784</v>
      </c>
      <c r="N7" s="15">
        <f t="shared" si="1"/>
        <v>0.77146216458777772</v>
      </c>
      <c r="O7" t="s">
        <v>187</v>
      </c>
      <c r="P7">
        <v>1999</v>
      </c>
      <c r="Q7" t="s">
        <v>188</v>
      </c>
      <c r="R7" t="s">
        <v>191</v>
      </c>
      <c r="T7" t="s">
        <v>38</v>
      </c>
      <c r="U7" s="8">
        <f>SQRT(U6/(COUNT(M2:M15)-2))</f>
        <v>0.33195910842085147</v>
      </c>
      <c r="Z7" s="20" t="s">
        <v>39</v>
      </c>
    </row>
    <row r="8" spans="1:26" x14ac:dyDescent="0.25">
      <c r="A8" t="s">
        <v>185</v>
      </c>
      <c r="B8" t="s">
        <v>186</v>
      </c>
      <c r="D8" t="s">
        <v>117</v>
      </c>
      <c r="E8" t="s">
        <v>193</v>
      </c>
      <c r="J8">
        <v>60</v>
      </c>
      <c r="K8">
        <f>1/(5.8-4.3)</f>
        <v>0.66666666666666663</v>
      </c>
      <c r="M8">
        <f t="shared" si="0"/>
        <v>-0.17609125905568127</v>
      </c>
      <c r="N8" s="15">
        <f t="shared" si="1"/>
        <v>7.4368257042953578E-2</v>
      </c>
      <c r="O8" t="s">
        <v>187</v>
      </c>
      <c r="P8">
        <v>1999</v>
      </c>
      <c r="Q8" t="s">
        <v>188</v>
      </c>
      <c r="R8" t="s">
        <v>191</v>
      </c>
      <c r="T8" t="s">
        <v>42</v>
      </c>
      <c r="U8" s="8">
        <f>INTERCEPT(M2:M15,J2:J15)-U4/U3</f>
        <v>-1.6683665118191069</v>
      </c>
      <c r="V8" s="8">
        <f>INTERCEPT(M2:M15,J2:J15)</f>
        <v>10.530776870215316</v>
      </c>
      <c r="W8" t="s">
        <v>43</v>
      </c>
      <c r="X8" t="s">
        <v>44</v>
      </c>
      <c r="Y8" s="23">
        <f>10^U8</f>
        <v>2.1460186316838561E-2</v>
      </c>
      <c r="Z8" s="21">
        <f>30/Y8</f>
        <v>1397.9375368451831</v>
      </c>
    </row>
    <row r="9" spans="1:26" x14ac:dyDescent="0.25">
      <c r="A9" t="s">
        <v>185</v>
      </c>
      <c r="B9" t="s">
        <v>186</v>
      </c>
      <c r="D9" t="s">
        <v>117</v>
      </c>
      <c r="E9" t="s">
        <v>194</v>
      </c>
      <c r="J9">
        <v>56</v>
      </c>
      <c r="K9">
        <f>2/(5.8-5.2)</f>
        <v>3.3333333333333353</v>
      </c>
      <c r="M9">
        <f t="shared" si="0"/>
        <v>0.52287874528033784</v>
      </c>
      <c r="N9" s="15">
        <f t="shared" si="1"/>
        <v>0.77146216458777772</v>
      </c>
      <c r="O9" t="s">
        <v>187</v>
      </c>
      <c r="P9">
        <v>1999</v>
      </c>
      <c r="Q9" t="s">
        <v>188</v>
      </c>
      <c r="R9" t="s">
        <v>191</v>
      </c>
      <c r="T9" t="s">
        <v>45</v>
      </c>
      <c r="U9" s="8">
        <f>U8+U5*U7</f>
        <v>-0.94508974746686125</v>
      </c>
      <c r="X9" t="s">
        <v>155</v>
      </c>
      <c r="Y9" s="19">
        <f>10^U9</f>
        <v>0.11347762885821898</v>
      </c>
      <c r="Z9" s="21">
        <f>30/Y9</f>
        <v>264.36928848312954</v>
      </c>
    </row>
    <row r="10" spans="1:26" x14ac:dyDescent="0.25">
      <c r="A10" t="s">
        <v>185</v>
      </c>
      <c r="B10" t="s">
        <v>186</v>
      </c>
      <c r="D10" t="s">
        <v>117</v>
      </c>
      <c r="E10" t="s">
        <v>194</v>
      </c>
      <c r="J10">
        <v>60</v>
      </c>
      <c r="K10">
        <f>1/(5.8-3.6)</f>
        <v>0.45454545454545459</v>
      </c>
      <c r="M10">
        <f t="shared" si="0"/>
        <v>-0.34242268082220617</v>
      </c>
      <c r="N10" s="15">
        <f t="shared" si="1"/>
        <v>7.4368257042953578E-2</v>
      </c>
      <c r="O10" t="s">
        <v>187</v>
      </c>
      <c r="P10">
        <v>1999</v>
      </c>
      <c r="Q10" t="s">
        <v>188</v>
      </c>
      <c r="R10" t="s">
        <v>191</v>
      </c>
    </row>
    <row r="11" spans="1:26" x14ac:dyDescent="0.25">
      <c r="A11" t="s">
        <v>185</v>
      </c>
      <c r="B11" t="s">
        <v>195</v>
      </c>
      <c r="D11" t="s">
        <v>70</v>
      </c>
      <c r="E11" t="s">
        <v>70</v>
      </c>
      <c r="J11">
        <v>60</v>
      </c>
      <c r="K11">
        <f>20/5.6</f>
        <v>3.5714285714285716</v>
      </c>
      <c r="M11">
        <f t="shared" si="0"/>
        <v>0.55284196865778079</v>
      </c>
      <c r="N11" s="15">
        <f t="shared" si="1"/>
        <v>7.4368257042953578E-2</v>
      </c>
      <c r="O11" t="s">
        <v>196</v>
      </c>
      <c r="P11">
        <v>1967</v>
      </c>
      <c r="Q11" t="s">
        <v>197</v>
      </c>
      <c r="R11" t="s">
        <v>198</v>
      </c>
      <c r="T11" t="s">
        <v>48</v>
      </c>
      <c r="U11" t="s">
        <v>107</v>
      </c>
      <c r="V11" t="s">
        <v>108</v>
      </c>
    </row>
    <row r="12" spans="1:26" x14ac:dyDescent="0.25">
      <c r="A12" t="s">
        <v>185</v>
      </c>
      <c r="B12" t="s">
        <v>195</v>
      </c>
      <c r="D12" t="s">
        <v>70</v>
      </c>
      <c r="E12" t="s">
        <v>70</v>
      </c>
      <c r="J12">
        <v>56</v>
      </c>
      <c r="K12">
        <f>60/(7.7-1.2)</f>
        <v>9.2307692307692299</v>
      </c>
      <c r="M12">
        <f t="shared" si="0"/>
        <v>0.96523789374078806</v>
      </c>
      <c r="N12" s="15">
        <f t="shared" si="1"/>
        <v>0.77146216458777772</v>
      </c>
      <c r="O12" t="s">
        <v>196</v>
      </c>
      <c r="P12">
        <v>1967</v>
      </c>
      <c r="Q12" t="s">
        <v>197</v>
      </c>
      <c r="R12" t="s">
        <v>199</v>
      </c>
      <c r="T12">
        <v>45</v>
      </c>
      <c r="U12" s="15">
        <f>$U$8-(T12-$U$4)/$U$3</f>
        <v>2.6884704103360439</v>
      </c>
      <c r="V12" s="8">
        <f>U12+$U$7*$U$5</f>
        <v>3.4117471746882897</v>
      </c>
    </row>
    <row r="13" spans="1:26" x14ac:dyDescent="0.25">
      <c r="A13" t="s">
        <v>185</v>
      </c>
      <c r="B13" t="s">
        <v>195</v>
      </c>
      <c r="D13" t="s">
        <v>70</v>
      </c>
      <c r="E13" t="s">
        <v>70</v>
      </c>
      <c r="J13">
        <v>60</v>
      </c>
      <c r="K13">
        <f>15/(7.7-1)</f>
        <v>2.2388059701492535</v>
      </c>
      <c r="M13">
        <f t="shared" si="0"/>
        <v>0.35001645635485479</v>
      </c>
      <c r="N13" s="15">
        <f t="shared" si="1"/>
        <v>7.4368257042953578E-2</v>
      </c>
      <c r="O13" t="s">
        <v>196</v>
      </c>
      <c r="P13">
        <v>1967</v>
      </c>
      <c r="Q13" t="s">
        <v>197</v>
      </c>
      <c r="R13" t="s">
        <v>200</v>
      </c>
      <c r="T13">
        <f>T12+5</f>
        <v>50</v>
      </c>
      <c r="U13" s="15">
        <f t="shared" ref="U13:U22" si="2">$U$8-(T13-$U$4)/$U$3</f>
        <v>1.817103025905014</v>
      </c>
      <c r="V13" s="8">
        <f t="shared" ref="V13:V22" si="3">U13+$U$7*$U$5</f>
        <v>2.5403797902572598</v>
      </c>
    </row>
    <row r="14" spans="1:26" x14ac:dyDescent="0.25">
      <c r="A14" t="s">
        <v>185</v>
      </c>
      <c r="B14" t="s">
        <v>201</v>
      </c>
      <c r="D14" t="s">
        <v>70</v>
      </c>
      <c r="E14" t="s">
        <v>202</v>
      </c>
      <c r="J14">
        <v>56</v>
      </c>
      <c r="K14">
        <f>90/(6.4-1.7)</f>
        <v>19.148936170212764</v>
      </c>
      <c r="M14">
        <f t="shared" si="0"/>
        <v>1.2821446515036075</v>
      </c>
      <c r="N14" s="15">
        <f t="shared" si="1"/>
        <v>0.77146216458777772</v>
      </c>
      <c r="O14" t="s">
        <v>196</v>
      </c>
      <c r="P14">
        <v>1967</v>
      </c>
      <c r="Q14" t="s">
        <v>197</v>
      </c>
      <c r="R14" t="s">
        <v>203</v>
      </c>
      <c r="T14">
        <f t="shared" ref="T14:T22" si="4">T13+5</f>
        <v>55</v>
      </c>
      <c r="U14" s="15">
        <f t="shared" si="2"/>
        <v>0.9457356414739837</v>
      </c>
      <c r="V14" s="8">
        <f t="shared" si="3"/>
        <v>1.6690124058262295</v>
      </c>
    </row>
    <row r="15" spans="1:26" x14ac:dyDescent="0.25">
      <c r="A15" t="s">
        <v>185</v>
      </c>
      <c r="B15" t="s">
        <v>201</v>
      </c>
      <c r="D15" t="s">
        <v>70</v>
      </c>
      <c r="E15" t="s">
        <v>202</v>
      </c>
      <c r="J15">
        <v>60</v>
      </c>
      <c r="K15">
        <f>5/(6.4-3)</f>
        <v>1.4705882352941175</v>
      </c>
      <c r="M15">
        <f t="shared" si="0"/>
        <v>0.16749108729376364</v>
      </c>
      <c r="N15" s="15">
        <f t="shared" si="1"/>
        <v>7.4368257042953578E-2</v>
      </c>
      <c r="O15" t="s">
        <v>196</v>
      </c>
      <c r="P15">
        <v>1967</v>
      </c>
      <c r="Q15" t="s">
        <v>197</v>
      </c>
      <c r="R15" t="s">
        <v>204</v>
      </c>
      <c r="T15">
        <f t="shared" si="4"/>
        <v>60</v>
      </c>
      <c r="U15" s="15">
        <f t="shared" si="2"/>
        <v>7.4368257042953578E-2</v>
      </c>
      <c r="V15" s="8">
        <f t="shared" si="3"/>
        <v>0.79764502139519922</v>
      </c>
    </row>
    <row r="16" spans="1:26" x14ac:dyDescent="0.25">
      <c r="T16">
        <f t="shared" si="4"/>
        <v>65</v>
      </c>
      <c r="U16" s="15">
        <f t="shared" si="2"/>
        <v>-0.79699912738807666</v>
      </c>
      <c r="V16" s="8">
        <f t="shared" si="3"/>
        <v>-7.3722363035831018E-2</v>
      </c>
    </row>
    <row r="17" spans="20:22" x14ac:dyDescent="0.25">
      <c r="T17">
        <f t="shared" si="4"/>
        <v>70</v>
      </c>
      <c r="U17" s="15">
        <f t="shared" si="2"/>
        <v>-1.6683665118191069</v>
      </c>
      <c r="V17" s="8">
        <f t="shared" si="3"/>
        <v>-0.94508974746686125</v>
      </c>
    </row>
    <row r="18" spans="20:22" x14ac:dyDescent="0.25">
      <c r="T18">
        <f t="shared" si="4"/>
        <v>75</v>
      </c>
      <c r="U18" s="15">
        <f t="shared" si="2"/>
        <v>-2.5397338962501372</v>
      </c>
      <c r="V18" s="8">
        <f t="shared" si="3"/>
        <v>-1.8164571318978915</v>
      </c>
    </row>
    <row r="19" spans="20:22" x14ac:dyDescent="0.25">
      <c r="T19">
        <f t="shared" si="4"/>
        <v>80</v>
      </c>
      <c r="U19" s="15">
        <f t="shared" si="2"/>
        <v>-3.4111012806811676</v>
      </c>
      <c r="V19" s="8">
        <f t="shared" si="3"/>
        <v>-2.6878245163289218</v>
      </c>
    </row>
    <row r="20" spans="20:22" x14ac:dyDescent="0.25">
      <c r="T20">
        <f t="shared" si="4"/>
        <v>85</v>
      </c>
      <c r="U20" s="15">
        <f t="shared" si="2"/>
        <v>-4.2824686651121979</v>
      </c>
      <c r="V20" s="8">
        <f t="shared" si="3"/>
        <v>-3.5591919007599522</v>
      </c>
    </row>
    <row r="21" spans="20:22" x14ac:dyDescent="0.25">
      <c r="T21">
        <f t="shared" si="4"/>
        <v>90</v>
      </c>
      <c r="U21" s="15">
        <f t="shared" si="2"/>
        <v>-5.1538360495432283</v>
      </c>
      <c r="V21" s="8">
        <f t="shared" si="3"/>
        <v>-4.4305592851909825</v>
      </c>
    </row>
    <row r="22" spans="20:22" x14ac:dyDescent="0.25">
      <c r="T22">
        <f t="shared" si="4"/>
        <v>95</v>
      </c>
      <c r="U22" s="15">
        <f t="shared" si="2"/>
        <v>-6.0252034339742577</v>
      </c>
      <c r="V22" s="8">
        <f t="shared" si="3"/>
        <v>-5.301926669622012</v>
      </c>
    </row>
    <row r="23" spans="20:22" x14ac:dyDescent="0.25">
      <c r="U23" s="15"/>
      <c r="V23" s="8"/>
    </row>
    <row r="24" spans="20:22" x14ac:dyDescent="0.25">
      <c r="U24" s="15"/>
      <c r="V24" s="8"/>
    </row>
    <row r="25" spans="20:22" x14ac:dyDescent="0.25">
      <c r="U25" s="15"/>
      <c r="V25" s="8"/>
    </row>
    <row r="26" spans="20:22" x14ac:dyDescent="0.25">
      <c r="U26" s="15"/>
      <c r="V26" s="8"/>
    </row>
    <row r="27" spans="20:22" x14ac:dyDescent="0.25">
      <c r="U27" s="15"/>
      <c r="V27" s="8"/>
    </row>
    <row r="28" spans="20:22" x14ac:dyDescent="0.25">
      <c r="U28" s="15"/>
      <c r="V28" s="8"/>
    </row>
    <row r="29" spans="20:22" x14ac:dyDescent="0.25">
      <c r="U29" s="15"/>
      <c r="V29" s="8"/>
    </row>
    <row r="30" spans="20:22" x14ac:dyDescent="0.25">
      <c r="U30" s="15"/>
      <c r="V30" s="8"/>
    </row>
    <row r="31" spans="20:22" x14ac:dyDescent="0.25">
      <c r="U31" s="15"/>
      <c r="V31" s="8"/>
    </row>
    <row r="32" spans="20:22" x14ac:dyDescent="0.25">
      <c r="U32" s="15"/>
      <c r="V32" s="8"/>
    </row>
    <row r="33" spans="21:22" x14ac:dyDescent="0.25">
      <c r="U33" s="15"/>
      <c r="V33" s="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opLeftCell="P1" workbookViewId="0">
      <selection activeCell="AA8" sqref="AA8"/>
    </sheetView>
  </sheetViews>
  <sheetFormatPr baseColWidth="10" defaultColWidth="9.140625" defaultRowHeight="15" x14ac:dyDescent="0.25"/>
  <cols>
    <col min="1" max="1" width="44.7109375" bestFit="1" customWidth="1"/>
    <col min="5" max="5" width="19.140625" bestFit="1" customWidth="1"/>
    <col min="7" max="7" width="3.7109375" bestFit="1" customWidth="1"/>
    <col min="8" max="8" width="9" customWidth="1"/>
    <col min="20" max="20" width="33.85546875" customWidth="1"/>
    <col min="21" max="21" width="11.5703125" customWidth="1"/>
    <col min="22" max="22" width="9.7109375" bestFit="1" customWidth="1"/>
    <col min="25" max="25" width="21.140625" bestFit="1" customWidth="1"/>
    <col min="26" max="26" width="17.85546875" bestFit="1" customWidth="1"/>
    <col min="27" max="27" width="32.42578125" bestFit="1" customWidth="1"/>
  </cols>
  <sheetData>
    <row r="1" spans="1:31" s="6" customFormat="1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96</v>
      </c>
      <c r="I1" s="2" t="s">
        <v>8</v>
      </c>
      <c r="J1" s="2" t="s">
        <v>9</v>
      </c>
      <c r="K1" s="2" t="s">
        <v>205</v>
      </c>
      <c r="L1" s="3" t="s">
        <v>206</v>
      </c>
      <c r="M1" s="2" t="s">
        <v>11</v>
      </c>
      <c r="N1" s="4" t="s">
        <v>184</v>
      </c>
      <c r="O1" s="5" t="s">
        <v>13</v>
      </c>
      <c r="P1" s="1" t="s">
        <v>14</v>
      </c>
      <c r="Q1" s="1" t="s">
        <v>16</v>
      </c>
      <c r="R1" s="1" t="s">
        <v>15</v>
      </c>
      <c r="S1" s="1" t="s">
        <v>17</v>
      </c>
      <c r="U1" s="14" t="s">
        <v>98</v>
      </c>
      <c r="AD1"/>
      <c r="AE1"/>
    </row>
    <row r="2" spans="1:31" x14ac:dyDescent="0.25">
      <c r="A2" t="s">
        <v>207</v>
      </c>
      <c r="B2" t="s">
        <v>208</v>
      </c>
      <c r="D2" t="s">
        <v>209</v>
      </c>
      <c r="E2" t="s">
        <v>138</v>
      </c>
      <c r="F2" t="s">
        <v>25</v>
      </c>
      <c r="I2">
        <v>7.5</v>
      </c>
      <c r="J2">
        <v>50</v>
      </c>
      <c r="K2">
        <f>8*60/5</f>
        <v>96</v>
      </c>
      <c r="L2">
        <f>K2*3.3</f>
        <v>316.79999999999995</v>
      </c>
      <c r="N2">
        <f>LOG10(L2)</f>
        <v>2.5007851729174559</v>
      </c>
      <c r="O2" s="15">
        <f>$V$8-(J2-$V$4)/$V$3</f>
        <v>2.0049808018097126</v>
      </c>
      <c r="P2" t="s">
        <v>210</v>
      </c>
      <c r="Q2" t="s">
        <v>211</v>
      </c>
      <c r="R2">
        <v>2012</v>
      </c>
      <c r="S2" t="s">
        <v>212</v>
      </c>
      <c r="U2" t="s">
        <v>28</v>
      </c>
      <c r="V2" t="s">
        <v>30</v>
      </c>
    </row>
    <row r="3" spans="1:31" x14ac:dyDescent="0.25">
      <c r="A3" t="s">
        <v>207</v>
      </c>
      <c r="B3" t="s">
        <v>208</v>
      </c>
      <c r="D3" t="s">
        <v>209</v>
      </c>
      <c r="E3" t="s">
        <v>138</v>
      </c>
      <c r="F3" t="s">
        <v>25</v>
      </c>
      <c r="I3">
        <v>7.5</v>
      </c>
      <c r="J3">
        <v>40</v>
      </c>
      <c r="K3">
        <f>1.6*60</f>
        <v>96</v>
      </c>
      <c r="L3">
        <f t="shared" ref="L3:L11" si="0">K3*3.3</f>
        <v>316.79999999999995</v>
      </c>
      <c r="N3">
        <f t="shared" ref="N3:N8" si="1">LOG10(L3)</f>
        <v>2.5007851729174559</v>
      </c>
      <c r="O3" s="15">
        <f t="shared" ref="O3:O11" si="2">$V$8-(J3-$V$4)/$V$3</f>
        <v>2.6419973475449812</v>
      </c>
      <c r="P3" t="s">
        <v>210</v>
      </c>
      <c r="Q3" t="s">
        <v>211</v>
      </c>
      <c r="R3">
        <v>2012</v>
      </c>
      <c r="S3" t="s">
        <v>212</v>
      </c>
      <c r="U3" t="s">
        <v>31</v>
      </c>
      <c r="V3" s="8">
        <f>-1/SLOPE(N2:N11,J2:J11)</f>
        <v>15.698179375321606</v>
      </c>
      <c r="W3" s="8">
        <f>SLOPE(N2:N11,J2:J11)</f>
        <v>-6.370165457352682E-2</v>
      </c>
      <c r="X3" t="s">
        <v>32</v>
      </c>
    </row>
    <row r="4" spans="1:31" x14ac:dyDescent="0.25">
      <c r="A4" t="s">
        <v>207</v>
      </c>
      <c r="B4" t="s">
        <v>208</v>
      </c>
      <c r="D4" t="s">
        <v>116</v>
      </c>
      <c r="E4" t="s">
        <v>213</v>
      </c>
      <c r="F4" t="s">
        <v>25</v>
      </c>
      <c r="I4">
        <v>7.5</v>
      </c>
      <c r="J4">
        <v>40</v>
      </c>
      <c r="K4">
        <f>1.7*60</f>
        <v>102</v>
      </c>
      <c r="L4">
        <f t="shared" si="0"/>
        <v>336.59999999999997</v>
      </c>
      <c r="N4">
        <f t="shared" si="1"/>
        <v>2.527114111639805</v>
      </c>
      <c r="O4" s="15">
        <f t="shared" si="2"/>
        <v>2.6419973475449812</v>
      </c>
      <c r="P4" t="s">
        <v>210</v>
      </c>
      <c r="Q4" t="s">
        <v>211</v>
      </c>
      <c r="R4">
        <v>2012</v>
      </c>
      <c r="S4" t="s">
        <v>212</v>
      </c>
      <c r="U4" t="s">
        <v>34</v>
      </c>
      <c r="V4" s="22">
        <v>70</v>
      </c>
    </row>
    <row r="5" spans="1:31" x14ac:dyDescent="0.25">
      <c r="A5" t="s">
        <v>207</v>
      </c>
      <c r="B5" t="s">
        <v>208</v>
      </c>
      <c r="D5" t="s">
        <v>209</v>
      </c>
      <c r="E5" t="s">
        <v>138</v>
      </c>
      <c r="F5" t="s">
        <v>25</v>
      </c>
      <c r="I5">
        <v>7.5</v>
      </c>
      <c r="J5">
        <v>60</v>
      </c>
      <c r="K5">
        <v>2.9</v>
      </c>
      <c r="L5">
        <f t="shared" si="0"/>
        <v>9.5699999999999985</v>
      </c>
      <c r="N5">
        <f t="shared" si="1"/>
        <v>0.98091193777684349</v>
      </c>
      <c r="O5" s="15">
        <f t="shared" si="2"/>
        <v>1.3679642560744445</v>
      </c>
      <c r="P5" t="s">
        <v>210</v>
      </c>
      <c r="Q5" t="s">
        <v>211</v>
      </c>
      <c r="R5">
        <v>2012</v>
      </c>
      <c r="S5" t="s">
        <v>212</v>
      </c>
      <c r="U5" t="s">
        <v>35</v>
      </c>
      <c r="V5" s="8">
        <f>TINV(0.05,COUNT(N2:N11)-2)</f>
        <v>2.3060041352041671</v>
      </c>
    </row>
    <row r="6" spans="1:31" x14ac:dyDescent="0.25">
      <c r="A6" t="s">
        <v>207</v>
      </c>
      <c r="B6" t="s">
        <v>208</v>
      </c>
      <c r="D6" t="s">
        <v>116</v>
      </c>
      <c r="E6" t="s">
        <v>213</v>
      </c>
      <c r="F6" t="s">
        <v>25</v>
      </c>
      <c r="I6">
        <v>7.5</v>
      </c>
      <c r="J6">
        <v>60</v>
      </c>
      <c r="K6">
        <v>8.5</v>
      </c>
      <c r="L6">
        <f t="shared" si="0"/>
        <v>28.049999999999997</v>
      </c>
      <c r="N6">
        <f t="shared" si="1"/>
        <v>1.4479328655921802</v>
      </c>
      <c r="O6" s="15">
        <f t="shared" si="2"/>
        <v>1.3679642560744445</v>
      </c>
      <c r="P6" t="s">
        <v>210</v>
      </c>
      <c r="Q6" t="s">
        <v>211</v>
      </c>
      <c r="R6">
        <v>2012</v>
      </c>
      <c r="S6" t="s">
        <v>212</v>
      </c>
      <c r="U6" t="s">
        <v>37</v>
      </c>
      <c r="V6" s="8">
        <f>SUMXMY2(N2:N11,O2:O11)</f>
        <v>0.66002801285432866</v>
      </c>
    </row>
    <row r="7" spans="1:31" x14ac:dyDescent="0.25">
      <c r="A7" t="s">
        <v>207</v>
      </c>
      <c r="B7" t="s">
        <v>208</v>
      </c>
      <c r="D7" t="s">
        <v>209</v>
      </c>
      <c r="E7" t="s">
        <v>138</v>
      </c>
      <c r="I7">
        <v>7.5</v>
      </c>
      <c r="J7">
        <v>80</v>
      </c>
      <c r="K7">
        <v>0.36</v>
      </c>
      <c r="L7">
        <f t="shared" si="0"/>
        <v>1.1879999999999999</v>
      </c>
      <c r="N7">
        <f t="shared" si="1"/>
        <v>7.4816440645174717E-2</v>
      </c>
      <c r="O7" s="15">
        <f t="shared" si="2"/>
        <v>9.3931164603908157E-2</v>
      </c>
      <c r="P7" t="s">
        <v>210</v>
      </c>
      <c r="Q7" t="s">
        <v>211</v>
      </c>
      <c r="R7">
        <v>2012</v>
      </c>
      <c r="S7" t="s">
        <v>212</v>
      </c>
      <c r="U7" t="s">
        <v>38</v>
      </c>
      <c r="V7" s="8">
        <f>SQRT(V6/(COUNT(N2:N11)-2))</f>
        <v>0.28723422777724644</v>
      </c>
      <c r="AA7" s="20" t="s">
        <v>39</v>
      </c>
      <c r="AB7" t="s">
        <v>40</v>
      </c>
    </row>
    <row r="8" spans="1:31" x14ac:dyDescent="0.25">
      <c r="A8" t="s">
        <v>207</v>
      </c>
      <c r="B8" t="s">
        <v>208</v>
      </c>
      <c r="D8" t="s">
        <v>116</v>
      </c>
      <c r="E8" t="s">
        <v>213</v>
      </c>
      <c r="I8">
        <v>7.5</v>
      </c>
      <c r="J8">
        <v>80</v>
      </c>
      <c r="K8">
        <v>0.59</v>
      </c>
      <c r="L8">
        <f t="shared" si="0"/>
        <v>1.9469999999999998</v>
      </c>
      <c r="N8">
        <f t="shared" si="1"/>
        <v>0.28936595152003164</v>
      </c>
      <c r="O8" s="15">
        <f t="shared" si="2"/>
        <v>9.3931164603908157E-2</v>
      </c>
      <c r="P8" t="s">
        <v>210</v>
      </c>
      <c r="Q8" t="s">
        <v>211</v>
      </c>
      <c r="R8">
        <v>2012</v>
      </c>
      <c r="S8" t="s">
        <v>212</v>
      </c>
      <c r="U8" t="s">
        <v>42</v>
      </c>
      <c r="V8" s="8">
        <f>INTERCEPT(N2:N11,J2:J11)-V4/V3</f>
        <v>0.73094771033917638</v>
      </c>
      <c r="W8" s="8">
        <f>INTERCEPT(N2:N11,J2:J11)</f>
        <v>5.1900635304860536</v>
      </c>
      <c r="X8" t="s">
        <v>43</v>
      </c>
      <c r="Y8" t="s">
        <v>44</v>
      </c>
      <c r="Z8" s="25">
        <f>10^V8</f>
        <v>5.3820497798573443</v>
      </c>
      <c r="AA8" s="21">
        <f>30/Z8</f>
        <v>5.5740844524100952</v>
      </c>
    </row>
    <row r="9" spans="1:31" x14ac:dyDescent="0.25">
      <c r="A9" t="s">
        <v>207</v>
      </c>
      <c r="D9" t="s">
        <v>214</v>
      </c>
      <c r="E9" t="s">
        <v>121</v>
      </c>
      <c r="I9">
        <v>7.5</v>
      </c>
      <c r="J9">
        <v>56</v>
      </c>
      <c r="K9">
        <v>6</v>
      </c>
      <c r="L9">
        <f t="shared" si="0"/>
        <v>19.799999999999997</v>
      </c>
      <c r="N9">
        <f>LOG10(L9)</f>
        <v>1.2966651902615312</v>
      </c>
      <c r="O9" s="15">
        <f t="shared" si="2"/>
        <v>1.6227708743685518</v>
      </c>
      <c r="P9" t="s">
        <v>215</v>
      </c>
      <c r="Q9" t="s">
        <v>216</v>
      </c>
      <c r="R9">
        <v>1994</v>
      </c>
      <c r="S9" t="s">
        <v>212</v>
      </c>
      <c r="U9" t="s">
        <v>45</v>
      </c>
      <c r="V9" s="8">
        <f>V8+V5*V7</f>
        <v>1.3933110273656824</v>
      </c>
      <c r="Y9" t="s">
        <v>46</v>
      </c>
      <c r="Z9" s="25">
        <f>10^V9</f>
        <v>24.734949462409073</v>
      </c>
      <c r="AA9" s="21">
        <f>30/Z9</f>
        <v>1.212858754597113</v>
      </c>
      <c r="AB9" s="38">
        <f>30/AB14</f>
        <v>98.823416595519674</v>
      </c>
      <c r="AC9" t="s">
        <v>217</v>
      </c>
    </row>
    <row r="10" spans="1:31" ht="15.75" thickBot="1" x14ac:dyDescent="0.3">
      <c r="A10" t="s">
        <v>207</v>
      </c>
      <c r="D10" t="s">
        <v>214</v>
      </c>
      <c r="E10" t="s">
        <v>121</v>
      </c>
      <c r="I10">
        <v>7.5</v>
      </c>
      <c r="J10">
        <v>37</v>
      </c>
      <c r="K10">
        <f>3*60</f>
        <v>180</v>
      </c>
      <c r="L10">
        <f t="shared" si="0"/>
        <v>594</v>
      </c>
      <c r="N10">
        <f>LOG10(L10)</f>
        <v>2.7737864449811935</v>
      </c>
      <c r="O10" s="15">
        <f t="shared" si="2"/>
        <v>2.8331023112655616</v>
      </c>
      <c r="P10" t="s">
        <v>215</v>
      </c>
      <c r="Q10" t="s">
        <v>216</v>
      </c>
      <c r="R10">
        <v>1994</v>
      </c>
      <c r="S10" t="s">
        <v>212</v>
      </c>
    </row>
    <row r="11" spans="1:31" x14ac:dyDescent="0.25">
      <c r="A11" t="s">
        <v>207</v>
      </c>
      <c r="D11" t="s">
        <v>214</v>
      </c>
      <c r="E11" t="s">
        <v>121</v>
      </c>
      <c r="I11">
        <v>6</v>
      </c>
      <c r="J11">
        <v>37</v>
      </c>
      <c r="K11">
        <f>6.5*60</f>
        <v>390</v>
      </c>
      <c r="L11">
        <f t="shared" si="0"/>
        <v>1287</v>
      </c>
      <c r="N11">
        <f>LOG10(L11)</f>
        <v>3.1095785469043866</v>
      </c>
      <c r="O11" s="15">
        <f t="shared" si="2"/>
        <v>2.8331023112655616</v>
      </c>
      <c r="P11" t="s">
        <v>215</v>
      </c>
      <c r="Q11" t="s">
        <v>216</v>
      </c>
      <c r="R11">
        <v>1994</v>
      </c>
      <c r="S11" t="s">
        <v>212</v>
      </c>
      <c r="U11" t="s">
        <v>48</v>
      </c>
      <c r="V11" t="s">
        <v>107</v>
      </c>
      <c r="W11" t="s">
        <v>108</v>
      </c>
      <c r="AA11" s="35"/>
      <c r="AB11" s="36"/>
    </row>
    <row r="12" spans="1:31" x14ac:dyDescent="0.25">
      <c r="U12">
        <v>30</v>
      </c>
      <c r="V12" s="15">
        <f>$V$8-(U12-$V$4)/$V$3</f>
        <v>3.2790138932802493</v>
      </c>
      <c r="W12" s="8">
        <f>V12+$V$7*$V$5</f>
        <v>3.9413772103067553</v>
      </c>
      <c r="AA12" s="29" t="s">
        <v>109</v>
      </c>
      <c r="AB12" s="37">
        <v>100</v>
      </c>
    </row>
    <row r="13" spans="1:31" x14ac:dyDescent="0.25">
      <c r="U13">
        <f>U12+5</f>
        <v>35</v>
      </c>
      <c r="V13" s="15">
        <f t="shared" ref="V13:V27" si="3">$V$8-(U13-$V$4)/$V$3</f>
        <v>2.960505620412615</v>
      </c>
      <c r="W13" s="8">
        <f t="shared" ref="W13:W27" si="4">V13+$V$7*$V$5</f>
        <v>3.622868937439121</v>
      </c>
      <c r="AA13" s="29" t="s">
        <v>111</v>
      </c>
      <c r="AB13" s="30">
        <f>V9-(AB12-V4)/V3</f>
        <v>-0.51773860984012221</v>
      </c>
    </row>
    <row r="14" spans="1:31" x14ac:dyDescent="0.25">
      <c r="U14">
        <f t="shared" ref="U14:U27" si="5">U13+5</f>
        <v>40</v>
      </c>
      <c r="V14" s="15">
        <f t="shared" si="3"/>
        <v>2.6419973475449812</v>
      </c>
      <c r="W14" s="8">
        <f t="shared" si="4"/>
        <v>3.3043606645714871</v>
      </c>
      <c r="AA14" s="29" t="s">
        <v>61</v>
      </c>
      <c r="AB14" s="30">
        <f>10^(AB13)</f>
        <v>0.30357177512682859</v>
      </c>
    </row>
    <row r="15" spans="1:31" ht="15.75" thickBot="1" x14ac:dyDescent="0.3">
      <c r="U15">
        <f t="shared" si="5"/>
        <v>45</v>
      </c>
      <c r="V15" s="15">
        <f t="shared" si="3"/>
        <v>2.3234890746773469</v>
      </c>
      <c r="W15" s="8">
        <f t="shared" si="4"/>
        <v>2.9858523917038529</v>
      </c>
      <c r="AA15" s="32"/>
      <c r="AB15" s="34"/>
    </row>
    <row r="16" spans="1:31" x14ac:dyDescent="0.25">
      <c r="U16">
        <f t="shared" si="5"/>
        <v>50</v>
      </c>
      <c r="V16" s="15">
        <f t="shared" si="3"/>
        <v>2.0049808018097126</v>
      </c>
      <c r="W16" s="8">
        <f t="shared" si="4"/>
        <v>2.6673441188362186</v>
      </c>
    </row>
    <row r="17" spans="21:23" x14ac:dyDescent="0.25">
      <c r="U17">
        <f t="shared" si="5"/>
        <v>55</v>
      </c>
      <c r="V17" s="15">
        <f t="shared" si="3"/>
        <v>1.6864725289420788</v>
      </c>
      <c r="W17" s="8">
        <f t="shared" si="4"/>
        <v>2.3488358459685847</v>
      </c>
    </row>
    <row r="18" spans="21:23" x14ac:dyDescent="0.25">
      <c r="U18">
        <f t="shared" si="5"/>
        <v>60</v>
      </c>
      <c r="V18" s="15">
        <f t="shared" si="3"/>
        <v>1.3679642560744445</v>
      </c>
      <c r="W18" s="8">
        <f t="shared" si="4"/>
        <v>2.0303275731009505</v>
      </c>
    </row>
    <row r="19" spans="21:23" x14ac:dyDescent="0.25">
      <c r="U19">
        <f t="shared" si="5"/>
        <v>65</v>
      </c>
      <c r="V19" s="15">
        <f t="shared" si="3"/>
        <v>1.0494559832068104</v>
      </c>
      <c r="W19" s="8">
        <f t="shared" si="4"/>
        <v>1.7118193002333164</v>
      </c>
    </row>
    <row r="20" spans="21:23" x14ac:dyDescent="0.25">
      <c r="U20">
        <f t="shared" si="5"/>
        <v>70</v>
      </c>
      <c r="V20" s="15">
        <f t="shared" si="3"/>
        <v>0.73094771033917638</v>
      </c>
      <c r="W20" s="8">
        <f t="shared" si="4"/>
        <v>1.3933110273656824</v>
      </c>
    </row>
    <row r="21" spans="21:23" x14ac:dyDescent="0.25">
      <c r="U21">
        <f t="shared" si="5"/>
        <v>75</v>
      </c>
      <c r="V21" s="15">
        <f t="shared" si="3"/>
        <v>0.41243943747154227</v>
      </c>
      <c r="W21" s="8">
        <f t="shared" si="4"/>
        <v>1.0748027544980483</v>
      </c>
    </row>
    <row r="22" spans="21:23" x14ac:dyDescent="0.25">
      <c r="U22">
        <f t="shared" si="5"/>
        <v>80</v>
      </c>
      <c r="V22" s="15">
        <f t="shared" si="3"/>
        <v>9.3931164603908157E-2</v>
      </c>
      <c r="W22" s="8">
        <f t="shared" si="4"/>
        <v>0.75629448163041413</v>
      </c>
    </row>
    <row r="23" spans="21:23" x14ac:dyDescent="0.25">
      <c r="U23">
        <f t="shared" si="5"/>
        <v>85</v>
      </c>
      <c r="V23" s="15">
        <f t="shared" si="3"/>
        <v>-0.2245771082637259</v>
      </c>
      <c r="W23" s="8">
        <f t="shared" si="4"/>
        <v>0.43778620876278007</v>
      </c>
    </row>
    <row r="24" spans="21:23" x14ac:dyDescent="0.25">
      <c r="U24">
        <f t="shared" si="5"/>
        <v>90</v>
      </c>
      <c r="V24" s="15">
        <f t="shared" si="3"/>
        <v>-0.54308538113136007</v>
      </c>
      <c r="W24" s="8">
        <f t="shared" si="4"/>
        <v>0.1192779358951459</v>
      </c>
    </row>
    <row r="25" spans="21:23" x14ac:dyDescent="0.25">
      <c r="U25">
        <f t="shared" si="5"/>
        <v>95</v>
      </c>
      <c r="V25" s="15">
        <f t="shared" si="3"/>
        <v>-0.86159365399899412</v>
      </c>
      <c r="W25" s="8">
        <f t="shared" si="4"/>
        <v>-0.19923033697248815</v>
      </c>
    </row>
    <row r="26" spans="21:23" x14ac:dyDescent="0.25">
      <c r="U26">
        <f t="shared" si="5"/>
        <v>100</v>
      </c>
      <c r="V26" s="15">
        <f t="shared" si="3"/>
        <v>-1.1801019268666282</v>
      </c>
      <c r="W26" s="8">
        <f t="shared" si="4"/>
        <v>-0.51773860984012221</v>
      </c>
    </row>
    <row r="27" spans="21:23" x14ac:dyDescent="0.25">
      <c r="U27">
        <f t="shared" si="5"/>
        <v>105</v>
      </c>
      <c r="V27" s="15">
        <f t="shared" si="3"/>
        <v>-1.4986101997342622</v>
      </c>
      <c r="W27" s="8">
        <f t="shared" si="4"/>
        <v>-0.83624688270775627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>
      <selection activeCell="G26" sqref="G26"/>
    </sheetView>
  </sheetViews>
  <sheetFormatPr baseColWidth="10" defaultColWidth="9.140625" defaultRowHeight="15" x14ac:dyDescent="0.25"/>
  <cols>
    <col min="1" max="1" width="20" bestFit="1" customWidth="1"/>
  </cols>
  <sheetData>
    <row r="1" spans="1:18" s="6" customFormat="1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96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184</v>
      </c>
      <c r="N1" s="5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218</v>
      </c>
      <c r="B2" t="s">
        <v>219</v>
      </c>
      <c r="D2" t="s">
        <v>116</v>
      </c>
      <c r="E2" t="s">
        <v>117</v>
      </c>
      <c r="I2">
        <v>7.5</v>
      </c>
      <c r="J2">
        <v>55</v>
      </c>
      <c r="K2">
        <v>1.1363636363636362</v>
      </c>
      <c r="M2">
        <f>LOG10(K2)</f>
        <v>5.5517327849831329E-2</v>
      </c>
      <c r="O2" t="s">
        <v>118</v>
      </c>
      <c r="P2">
        <v>2000</v>
      </c>
      <c r="Q2" t="s">
        <v>119</v>
      </c>
      <c r="R2" t="s">
        <v>120</v>
      </c>
    </row>
    <row r="3" spans="1:18" x14ac:dyDescent="0.25">
      <c r="A3" t="s">
        <v>218</v>
      </c>
      <c r="D3" t="s">
        <v>70</v>
      </c>
      <c r="E3" t="s">
        <v>121</v>
      </c>
      <c r="J3">
        <v>55</v>
      </c>
      <c r="K3">
        <v>1.1904761904761905</v>
      </c>
      <c r="M3">
        <f t="shared" ref="M3:M5" si="0">LOG10(K3)</f>
        <v>7.5720713938118342E-2</v>
      </c>
      <c r="O3" t="s">
        <v>118</v>
      </c>
      <c r="P3">
        <v>2000</v>
      </c>
      <c r="Q3" t="s">
        <v>119</v>
      </c>
      <c r="R3" t="s">
        <v>120</v>
      </c>
    </row>
    <row r="4" spans="1:18" x14ac:dyDescent="0.25">
      <c r="A4" t="s">
        <v>218</v>
      </c>
      <c r="D4" t="s">
        <v>116</v>
      </c>
      <c r="E4" t="s">
        <v>117</v>
      </c>
      <c r="I4">
        <v>7.5</v>
      </c>
      <c r="J4">
        <v>60</v>
      </c>
      <c r="K4">
        <v>0.4081632653061224</v>
      </c>
      <c r="M4">
        <f t="shared" si="0"/>
        <v>-0.38916608436453254</v>
      </c>
      <c r="O4" t="s">
        <v>118</v>
      </c>
      <c r="P4">
        <v>2000</v>
      </c>
      <c r="Q4" t="s">
        <v>119</v>
      </c>
      <c r="R4" t="s">
        <v>120</v>
      </c>
    </row>
    <row r="5" spans="1:18" x14ac:dyDescent="0.25">
      <c r="A5" t="s">
        <v>218</v>
      </c>
      <c r="D5" t="s">
        <v>70</v>
      </c>
      <c r="E5" t="s">
        <v>121</v>
      </c>
      <c r="J5">
        <v>60</v>
      </c>
      <c r="K5">
        <v>0.45454545454545453</v>
      </c>
      <c r="M5">
        <f t="shared" si="0"/>
        <v>-0.34242268082220623</v>
      </c>
      <c r="O5" t="s">
        <v>118</v>
      </c>
      <c r="P5">
        <v>2000</v>
      </c>
      <c r="Q5" t="s">
        <v>119</v>
      </c>
      <c r="R5" t="s">
        <v>120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B5A6EC315D5439F9BCFCFB977BF1D" ma:contentTypeVersion="1" ma:contentTypeDescription="Create a new document." ma:contentTypeScope="" ma:versionID="16c3c4b42fd10e67dced7ee6ff7488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1ed251056e4bb5490090c89f65c250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FBB7E8-5E17-4B4E-831D-DB47D3A51A9D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920E6E4-A01E-4C8F-A2AC-570EC9396E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F612A8C-8569-4340-9F7D-CE06B250B1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AI</vt:lpstr>
      <vt:lpstr>FMD</vt:lpstr>
      <vt:lpstr>ND</vt:lpstr>
      <vt:lpstr>PED</vt:lpstr>
      <vt:lpstr>ASF</vt:lpstr>
      <vt:lpstr>PRRS</vt:lpstr>
      <vt:lpstr>CSF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2019-06-02T20:28:34Z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0x0101009CAB5A6EC315D5439F9BCFCFB977BF1D</vt:lpwstr>
  </property>
</Properties>
</file>